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SK Vand AS (V165)\ØR2023\"/>
    </mc:Choice>
  </mc:AlternateContent>
  <xr:revisionPtr revIDLastSave="0" documentId="13_ncr:1_{2C45DE7F-8010-4B3C-93A4-B7AC232DF1E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91029" calcMode="manual"/>
</workbook>
</file>

<file path=xl/calcChain.xml><?xml version="1.0" encoding="utf-8"?>
<calcChain xmlns="http://schemas.openxmlformats.org/spreadsheetml/2006/main">
  <c r="C15" i="19" l="1"/>
  <c r="C17" i="2" l="1"/>
  <c r="C12" i="2" l="1"/>
  <c r="E14" i="37" l="1"/>
  <c r="C14" i="37"/>
  <c r="E17" i="32" l="1"/>
  <c r="E16" i="32"/>
  <c r="E32" i="27" l="1"/>
  <c r="C19" i="23"/>
  <c r="C19" i="22"/>
  <c r="C19" i="15"/>
  <c r="C31" i="2"/>
  <c r="G18" i="40" l="1"/>
  <c r="E25" i="32" l="1"/>
  <c r="E29" i="32" s="1"/>
  <c r="E31" i="32" s="1"/>
  <c r="C17" i="15" l="1"/>
  <c r="C29" i="2"/>
  <c r="F10" i="11"/>
  <c r="E12" i="39" l="1"/>
  <c r="C12" i="39"/>
  <c r="E11" i="29"/>
  <c r="E12" i="29" s="1"/>
  <c r="C14" i="2" s="1"/>
  <c r="C11" i="29"/>
  <c r="J11" i="11"/>
  <c r="H11" i="11"/>
  <c r="C16" i="19" l="1"/>
  <c r="F11" i="11" l="1"/>
  <c r="E10" i="37" s="1"/>
  <c r="C10" i="37"/>
  <c r="C15" i="37" s="1"/>
  <c r="C15" i="23" l="1"/>
  <c r="C15" i="22" l="1"/>
  <c r="C15" i="15"/>
  <c r="C12" i="29"/>
  <c r="G36" i="36" l="1"/>
  <c r="G36" i="30"/>
  <c r="G6" i="30" l="1"/>
  <c r="E13" i="39" l="1"/>
  <c r="C13" i="39"/>
  <c r="C23" i="2" s="1"/>
  <c r="C25" i="2" s="1"/>
  <c r="G10" i="30" l="1"/>
  <c r="G12" i="30" s="1"/>
  <c r="E15" i="37" l="1"/>
  <c r="E13" i="21" l="1"/>
  <c r="E14" i="21" s="1"/>
  <c r="C13" i="21"/>
  <c r="C14" i="21" s="1"/>
  <c r="C11" i="2" l="1"/>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G47" i="30" l="1"/>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<sst xmlns="http://schemas.openxmlformats.org/spreadsheetml/2006/main" count="517" uniqueCount="256">
  <si>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</si>
  <si>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</si>
  <si>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</si>
  <si>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</si>
  <si>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</si>
  <si>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</si>
  <si>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</si>
  <si>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</si>
  <si>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</si>
  <si>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</si>
  <si>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</si>
  <si>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</si>
  <si>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</si>
  <si>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</si>
  <si>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</si>
  <si>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</si>
  <si>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</si>
  <si>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</si>
  <si>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</si>
  <si>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</si>
  <si>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</si>
  <si>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</si>
  <si>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</si>
  <si>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</si>
  <si>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</si>
  <si>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</si>
  <si>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</si>
  <si>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</si>
  <si>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</si>
  <si>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</si>
  <si>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</si>
  <si>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</si>
  <si>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</si>
  <si>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</si>
  <si>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</si>
  <si>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</si>
  <si>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</si>
  <si>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</si>
  <si>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</si>
  <si>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</si>
  <si>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</si>
  <si>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</si>
  <si>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</si>
  <si>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</si>
  <si>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</si>
  <si>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</si>
  <si>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</si>
  <si>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</si>
  <si>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</si>
  <si>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</si>
  <si>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</si>
  <si>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</si>
  <si>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</si>
  <si>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</si>
  <si>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</si>
  <si>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</si>
  <si>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</si>
  <si>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</si>
  <si>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</si>
  <si>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</si>
  <si>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</si>
  <si>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</si>
  <si>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</si>
  <si>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</si>
  <si>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</si>
  <si>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</si>
  <si>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</si>
  <si>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</si>
  <si>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</si>
  <si>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</si>
  <si>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</si>
  <si>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</si>
  <si>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</si>
  <si>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</si>
  <si>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</si>
  <si>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</si>
  <si>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</si>
  <si>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</si>
  <si>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</si>
  <si>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</si>
  <si>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</si>
  <si>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</si>
  <si>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</si>
  <si>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</si>
  <si>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</si>
  <si>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</si>
  <si>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</si>
  <si>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</si>
  <si>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</si>
  <si>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</si>
  <si>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</si>
  <si>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</si>
  <si>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</si>
  <si>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</si>
  <si>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</si>
  <si>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</si>
  <si>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</si>
  <si>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</si>
  <si>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</si>
  <si>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</si>
  <si>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</si>
  <si>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</si>
  <si>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</si>
  <si>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</si>
  <si>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</si>
  <si>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</si>
  <si>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</si>
  <si>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</si>
  <si>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</si>
  <si>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</si>
  <si>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</si>
  <si>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</si>
  <si>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</si>
  <si>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</si>
  <si>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</si>
  <si>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</si>
  <si>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</si>
  <si>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</si>
  <si>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</si>
  <si>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</si>
  <si>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</si>
  <si>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</si>
  <si>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</si>
  <si>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</si>
  <si>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</si>
  <si>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</si>
  <si>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</si>
  <si>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</si>
  <si>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</si>
  <si>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</si>
  <si>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</si>
  <si>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</si>
  <si>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</si>
  <si>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</si>
  <si>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</si>
  <si>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</si>
  <si>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</si>
  <si>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</si>
  <si>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</si>
  <si>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</si>
  <si>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</si>
  <si>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</si>
  <si>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</si>
  <si>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</si>
  <si>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</si>
  <si>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</si>
  <si>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</si>
  <si>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</si>
  <si>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</si>
  <si>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</si>
  <si>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</si>
  <si>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</si>
  <si>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</si>
  <si>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</si>
  <si>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</si>
  <si>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</si>
  <si>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</si>
  <si>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</si>
  <si>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</si>
  <si>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</si>
  <si>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</si>
  <si>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</si>
  <si>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</si>
  <si>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</si>
  <si>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</si>
  <si>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</si>
  <si>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</si>
  <si>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</si>
  <si>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</si>
  <si>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</si>
  <si>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</si>
  <si>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</si>
  <si>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</si>
  <si>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</si>
  <si>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</si>
  <si>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</si>
  <si>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</si>
  <si>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</si>
  <si>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</si>
  <si>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</si>
  <si>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</si>
  <si>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</si>
  <si>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</si>
  <si>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</si>
  <si>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</si>
  <si>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</si>
  <si>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</si>
  <si>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</si>
  <si>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</si>
  <si>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</si>
  <si>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</si>
  <si>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</si>
  <si>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</si>
  <si>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</si>
  <si>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</si>
  <si>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</si>
  <si>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</si>
  <si>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</si>
  <si>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</si>
  <si>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</si>
  <si>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</si>
  <si>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</si>
  <si>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</si>
  <si>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</si>
  <si>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</si>
  <si>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</si>
  <si>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</si>
  <si>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</si>
  <si>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</si>
  <si>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</si>
  <si>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</si>
  <si>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</si>
  <si>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</si>
  <si>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</si>
  <si>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</si>
  <si>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</si>
  <si>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</si>
  <si>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</si>
  <si>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</si>
  <si>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</si>
  <si>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</si>
  <si>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</si>
  <si>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</si>
  <si>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</si>
  <si>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</si>
  <si>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</si>
  <si>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</si>
  <si>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</si>
  <si>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</si>
  <si>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</si>
  <si>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</si>
  <si>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</si>
  <si>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</si>
  <si>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</si>
  <si>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</si>
  <si>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</si>
  <si>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</si>
  <si>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</si>
  <si>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</si>
  <si>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</si>
  <si>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</si>
  <si>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</si>
  <si>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Grundvandsbeskyttelse og analyser</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</si>
  <si>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</si>
  <si>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</si>
  <si>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</si>
  <si>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</si>
  <si>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</si>
  <si>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</si>
  <si>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</si>
  <si>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</si>
  <si>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</si>
  <si>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</si>
  <si>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</si>
  <si>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Etablering af dige</t>
  </si>
  <si>
    <t>Fusion - Kirke Stillinge Vandværk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</si>
</sst>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165" fontId="8" fillId="4" borderId="1" xfId="1" applyNumberFormat="1" applyFont="1" applyFill="1" applyBorder="1" applyProtection="1"/>
    <xf numFmtId="0" fontId="8" fillId="8" borderId="2" xfId="0" applyFont="1" applyFill="1" applyBorder="1" applyAlignment="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refreshError="1"/>
      <sheetData sheetId="1">
        <row r="1">
          <cell r="A1" t="str">
            <v>ØR 2024-2027 samt statusmeddelelser</v>
          </cell>
        </row>
      </sheetData>
      <sheetData sheetId="2">
        <row r="1">
          <cell r="A1" t="str">
            <v>ØR 2023-2026 samt statusmeddelelser</v>
          </cell>
        </row>
      </sheetData>
      <sheetData sheetId="3" refreshError="1"/>
      <sheetData sheetId="4" refreshError="1"/>
      <sheetData sheetId="5" refreshError="1"/>
      <sheetData sheetId="6" refreshError="1"/>
      <sheetData sheetId="7" refreshError="1"/>
      <sheetData sheetId="8" refreshError="1"/>
      <sheetData sheetId="9">
        <row r="5">
          <cell r="C5">
            <v>1.0168999999999999</v>
          </cell>
        </row>
      </sheetData>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0"/>
  <sheetViews>
    <sheetView showGridLines="0" tabSelected="1" view="pageLayout" zoomScaleNormal="100" workbookViewId="0"/>
  </sheetViews>
  <sheetFormatPr defaultColWidth="9" defaultRowHeight="14.5" x14ac:dyDescent="0.35"/>
  <cols>
    <col min="1" max="1" width="9" style="2"/>
    <col min="2" max="2" width="5.81640625" style="2" customWidth="1"/>
    <col min="3" max="4" width="9" style="2"/>
    <col min="5" max="5" width="11.7265625" style="2" customWidth="1"/>
    <col min="6" max="6" width="11.54296875" style="2" customWidth="1"/>
    <col min="7" max="8" width="9" style="2"/>
    <col min="9" max="9" width="12" style="2" customWidth="1"/>
    <col min="10" max="16384" width="9"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95" t="s">
        <v>4</v>
      </c>
      <c r="E6" s="95"/>
      <c r="F6" s="95"/>
      <c r="G6" s="95"/>
      <c r="H6" s="3"/>
      <c r="I6" s="1"/>
    </row>
    <row r="7" spans="1:9" ht="15" customHeight="1" x14ac:dyDescent="0.35">
      <c r="A7" s="1"/>
      <c r="B7" s="1"/>
      <c r="C7" s="3"/>
      <c r="D7" s="95"/>
      <c r="E7" s="95"/>
      <c r="F7" s="95"/>
      <c r="G7" s="95"/>
      <c r="H7" s="3"/>
      <c r="I7" s="1"/>
    </row>
    <row r="8" spans="1:9" ht="15.5" x14ac:dyDescent="0.35">
      <c r="A8" s="1"/>
      <c r="B8" s="1"/>
      <c r="C8" s="4"/>
      <c r="D8" s="97" t="s">
        <v>194</v>
      </c>
      <c r="E8" s="97"/>
      <c r="F8" s="97"/>
      <c r="G8" s="97"/>
      <c r="H8" s="4"/>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96" t="s">
        <v>5</v>
      </c>
      <c r="E11" s="96"/>
      <c r="F11" s="96"/>
      <c r="G11" s="96"/>
      <c r="H11" s="5"/>
      <c r="I11" s="1"/>
    </row>
    <row r="12" spans="1:9" x14ac:dyDescent="0.35">
      <c r="A12" s="1"/>
      <c r="B12" s="1"/>
      <c r="C12" s="1"/>
      <c r="D12" s="1"/>
      <c r="E12" s="1"/>
      <c r="F12" s="1"/>
      <c r="G12" s="1"/>
      <c r="H12" s="1"/>
      <c r="I12" s="1"/>
    </row>
    <row r="13" spans="1:9" x14ac:dyDescent="0.35">
      <c r="A13" s="1"/>
      <c r="B13" s="1"/>
      <c r="C13" s="6" t="s">
        <v>6</v>
      </c>
      <c r="D13" s="92" t="s">
        <v>161</v>
      </c>
      <c r="E13" s="93"/>
      <c r="F13" s="93"/>
      <c r="G13" s="94"/>
      <c r="H13" s="1"/>
      <c r="I13" s="1"/>
    </row>
    <row r="14" spans="1:9" x14ac:dyDescent="0.35">
      <c r="A14" s="1"/>
      <c r="B14" s="1"/>
      <c r="C14" s="6" t="s">
        <v>14</v>
      </c>
      <c r="D14" s="92" t="s">
        <v>204</v>
      </c>
      <c r="E14" s="93"/>
      <c r="F14" s="93"/>
      <c r="G14" s="94"/>
      <c r="H14" s="1"/>
      <c r="I14" s="1"/>
    </row>
    <row r="15" spans="1:9" x14ac:dyDescent="0.35">
      <c r="A15" s="1"/>
      <c r="B15" s="1"/>
      <c r="C15" s="6" t="s">
        <v>32</v>
      </c>
      <c r="D15" s="92" t="s">
        <v>137</v>
      </c>
      <c r="E15" s="93"/>
      <c r="F15" s="93"/>
      <c r="G15" s="94"/>
      <c r="H15" s="1"/>
      <c r="I15" s="1"/>
    </row>
    <row r="16" spans="1:9" x14ac:dyDescent="0.35">
      <c r="A16" s="1"/>
      <c r="B16" s="1"/>
      <c r="C16" s="6" t="s">
        <v>33</v>
      </c>
      <c r="D16" s="92" t="s">
        <v>162</v>
      </c>
      <c r="E16" s="93"/>
      <c r="F16" s="93"/>
      <c r="G16" s="94"/>
      <c r="H16" s="1"/>
      <c r="I16" s="1"/>
    </row>
    <row r="17" spans="1:9" x14ac:dyDescent="0.35">
      <c r="A17" s="1"/>
      <c r="B17" s="1"/>
      <c r="C17" s="6" t="s">
        <v>110</v>
      </c>
      <c r="D17" s="92" t="s">
        <v>163</v>
      </c>
      <c r="E17" s="93"/>
      <c r="F17" s="93"/>
      <c r="G17" s="94"/>
      <c r="H17" s="1"/>
      <c r="I17" s="1"/>
    </row>
    <row r="18" spans="1:9" x14ac:dyDescent="0.35">
      <c r="A18" s="1"/>
      <c r="B18" s="1"/>
      <c r="C18" s="6" t="s">
        <v>94</v>
      </c>
      <c r="D18" s="98" t="s">
        <v>86</v>
      </c>
      <c r="E18" s="99"/>
      <c r="F18" s="99"/>
      <c r="G18" s="100"/>
      <c r="H18" s="1"/>
      <c r="I18" s="1"/>
    </row>
    <row r="19" spans="1:9" x14ac:dyDescent="0.35">
      <c r="A19" s="1"/>
      <c r="B19" s="1"/>
      <c r="C19" s="6" t="s">
        <v>95</v>
      </c>
      <c r="D19" s="98" t="s">
        <v>87</v>
      </c>
      <c r="E19" s="99"/>
      <c r="F19" s="99"/>
      <c r="G19" s="100"/>
      <c r="H19" s="1"/>
      <c r="I19" s="1"/>
    </row>
    <row r="20" spans="1:9" x14ac:dyDescent="0.35">
      <c r="A20" s="1"/>
      <c r="B20" s="1"/>
      <c r="C20" s="6" t="s">
        <v>7</v>
      </c>
      <c r="D20" s="98" t="s">
        <v>9</v>
      </c>
      <c r="E20" s="99"/>
      <c r="F20" s="99"/>
      <c r="G20" s="100"/>
      <c r="H20" s="1"/>
      <c r="I20" s="1"/>
    </row>
    <row r="21" spans="1:9" x14ac:dyDescent="0.35">
      <c r="A21" s="1"/>
      <c r="B21" s="1"/>
      <c r="C21" s="6" t="s">
        <v>96</v>
      </c>
      <c r="D21" s="89" t="s">
        <v>11</v>
      </c>
      <c r="E21" s="90"/>
      <c r="F21" s="90"/>
      <c r="G21" s="91"/>
      <c r="H21" s="1"/>
      <c r="I21" s="1"/>
    </row>
    <row r="22" spans="1:9" x14ac:dyDescent="0.35">
      <c r="A22" s="1"/>
      <c r="B22" s="1"/>
      <c r="C22" s="6" t="s">
        <v>78</v>
      </c>
      <c r="D22" s="83" t="s">
        <v>164</v>
      </c>
      <c r="E22" s="84"/>
      <c r="F22" s="84"/>
      <c r="G22" s="85"/>
      <c r="H22" s="1"/>
      <c r="I22" s="1"/>
    </row>
    <row r="23" spans="1:9" x14ac:dyDescent="0.35">
      <c r="A23" s="1"/>
      <c r="B23" s="1"/>
      <c r="C23" s="6" t="s">
        <v>8</v>
      </c>
      <c r="D23" s="83" t="s">
        <v>219</v>
      </c>
      <c r="E23" s="84"/>
      <c r="F23" s="84"/>
      <c r="G23" s="85"/>
      <c r="H23" s="1"/>
      <c r="I23" s="1"/>
    </row>
    <row r="24" spans="1:9" x14ac:dyDescent="0.35">
      <c r="A24" s="1"/>
      <c r="B24" s="1"/>
      <c r="C24" s="6" t="s">
        <v>215</v>
      </c>
      <c r="D24" s="83" t="s">
        <v>205</v>
      </c>
      <c r="E24" s="84"/>
      <c r="F24" s="84"/>
      <c r="G24" s="85"/>
      <c r="H24" s="1"/>
      <c r="I24" s="1"/>
    </row>
    <row r="25" spans="1:9" x14ac:dyDescent="0.35">
      <c r="A25" s="1"/>
      <c r="B25" s="1"/>
      <c r="C25" s="6" t="s">
        <v>216</v>
      </c>
      <c r="D25" s="83" t="s">
        <v>79</v>
      </c>
      <c r="E25" s="84"/>
      <c r="F25" s="84"/>
      <c r="G25" s="85"/>
      <c r="H25" s="1"/>
      <c r="I25" s="1"/>
    </row>
    <row r="26" spans="1:9" x14ac:dyDescent="0.35">
      <c r="A26" s="1"/>
      <c r="B26" s="1"/>
      <c r="C26" s="6" t="s">
        <v>217</v>
      </c>
      <c r="D26" s="83" t="s">
        <v>80</v>
      </c>
      <c r="E26" s="84"/>
      <c r="F26" s="84"/>
      <c r="G26" s="85"/>
      <c r="H26" s="1"/>
      <c r="I26" s="1"/>
    </row>
    <row r="27" spans="1:9" x14ac:dyDescent="0.35">
      <c r="A27" s="1"/>
      <c r="B27" s="1"/>
      <c r="C27" s="6" t="s">
        <v>97</v>
      </c>
      <c r="D27" s="83" t="s">
        <v>111</v>
      </c>
      <c r="E27" s="84"/>
      <c r="F27" s="84"/>
      <c r="G27" s="85"/>
      <c r="H27" s="1"/>
      <c r="I27" s="1"/>
    </row>
    <row r="28" spans="1:9" x14ac:dyDescent="0.35">
      <c r="A28" s="1"/>
      <c r="B28" s="1"/>
      <c r="C28" s="6" t="s">
        <v>91</v>
      </c>
      <c r="D28" s="83" t="s">
        <v>34</v>
      </c>
      <c r="E28" s="84"/>
      <c r="F28" s="84"/>
      <c r="G28" s="85"/>
      <c r="H28" s="1"/>
      <c r="I28" s="1"/>
    </row>
    <row r="29" spans="1:9" x14ac:dyDescent="0.35">
      <c r="A29" s="1"/>
      <c r="B29" s="1"/>
      <c r="C29" s="6" t="s">
        <v>218</v>
      </c>
      <c r="D29" s="86" t="s">
        <v>92</v>
      </c>
      <c r="E29" s="87"/>
      <c r="F29" s="87"/>
      <c r="G29" s="88"/>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fu2r+TehVYwG3hhAbnYzTZrtdyWNbaaLE1DufLbLmqugyQZagF1JVJk4LecOPkhcMbA6oH/P4pL9QynoHctvjQ==" saltValue="PXckKxPQXEVvddIL3VI9r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1:G21" location="'Fane 6. Ikke-påvirkelige omk.'!A1" display="Ikke-påvirkelige omkostninger" xr:uid="{00000000-0004-0000-0000-000007000000}"/>
    <hyperlink ref="D22:G22" location="'Fane 7. Kontrol af ØR2021'!A1" display="Kontrol af den økonomiske ramme for 2021"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2'!A1" display="Omkostninger i ØR2022"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1"/>
  <sheetViews>
    <sheetView showGridLines="0" view="pageLayout" topLeftCell="A3" zoomScaleNormal="100" workbookViewId="0">
      <selection activeCell="C16" sqref="C16"/>
    </sheetView>
  </sheetViews>
  <sheetFormatPr defaultColWidth="9" defaultRowHeight="14.5" x14ac:dyDescent="0.35"/>
  <cols>
    <col min="1" max="1" width="8"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 style="2"/>
  </cols>
  <sheetData>
    <row r="1" spans="1:6" x14ac:dyDescent="0.35">
      <c r="A1" s="1"/>
      <c r="B1" s="1"/>
      <c r="C1" s="1"/>
      <c r="D1" s="1"/>
      <c r="E1" s="1"/>
      <c r="F1" s="1"/>
    </row>
    <row r="2" spans="1:6" x14ac:dyDescent="0.35">
      <c r="A2" s="1"/>
      <c r="B2" s="1"/>
      <c r="C2" s="1"/>
      <c r="D2" s="1"/>
      <c r="E2" s="1"/>
      <c r="F2" s="1"/>
    </row>
    <row r="3" spans="1:6" ht="15" customHeight="1" x14ac:dyDescent="0.35">
      <c r="A3" s="1"/>
      <c r="B3" s="101" t="s">
        <v>100</v>
      </c>
      <c r="C3" s="101"/>
      <c r="D3" s="101"/>
      <c r="E3" s="1"/>
      <c r="F3" s="1"/>
    </row>
    <row r="4" spans="1:6" ht="15" customHeight="1" x14ac:dyDescent="0.35">
      <c r="A4" s="1"/>
      <c r="B4" s="101"/>
      <c r="C4" s="101"/>
      <c r="D4" s="101"/>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24" t="s">
        <v>181</v>
      </c>
      <c r="C8" s="125"/>
      <c r="D8" s="126"/>
      <c r="E8" s="1"/>
      <c r="F8" s="1"/>
    </row>
    <row r="9" spans="1:6" ht="15" customHeight="1" x14ac:dyDescent="0.35">
      <c r="A9" s="1"/>
      <c r="B9" s="33" t="s">
        <v>30</v>
      </c>
      <c r="C9" s="11" t="s">
        <v>212</v>
      </c>
      <c r="D9" s="11"/>
      <c r="E9" s="1"/>
      <c r="F9" s="1"/>
    </row>
    <row r="10" spans="1:6" x14ac:dyDescent="0.35">
      <c r="A10" s="1"/>
      <c r="B10" s="78" t="s">
        <v>231</v>
      </c>
      <c r="C10" s="9">
        <v>22610798</v>
      </c>
      <c r="D10" s="14" t="s">
        <v>3</v>
      </c>
      <c r="E10" s="1"/>
      <c r="F10" s="1"/>
    </row>
    <row r="11" spans="1:6" x14ac:dyDescent="0.35">
      <c r="A11" s="1"/>
      <c r="B11" s="78" t="s">
        <v>232</v>
      </c>
      <c r="C11" s="9">
        <v>147815</v>
      </c>
      <c r="D11" s="14" t="s">
        <v>3</v>
      </c>
      <c r="E11" s="1"/>
      <c r="F11" s="1"/>
    </row>
    <row r="12" spans="1:6" x14ac:dyDescent="0.35">
      <c r="A12" s="1"/>
      <c r="B12" s="78" t="s">
        <v>233</v>
      </c>
      <c r="C12" s="9">
        <v>127599</v>
      </c>
      <c r="D12" s="14" t="s">
        <v>3</v>
      </c>
      <c r="E12" s="1"/>
      <c r="F12" s="1"/>
    </row>
    <row r="13" spans="1:6" x14ac:dyDescent="0.35">
      <c r="A13" s="1"/>
      <c r="B13" s="78" t="s">
        <v>234</v>
      </c>
      <c r="C13" s="9">
        <v>39320</v>
      </c>
      <c r="D13" s="14" t="s">
        <v>3</v>
      </c>
      <c r="E13" s="1"/>
      <c r="F13" s="1"/>
    </row>
    <row r="14" spans="1:6" x14ac:dyDescent="0.35">
      <c r="A14" s="1"/>
      <c r="B14" s="82" t="s">
        <v>255</v>
      </c>
      <c r="C14" s="9">
        <v>306365</v>
      </c>
      <c r="D14" s="14" t="s">
        <v>3</v>
      </c>
      <c r="E14" s="1"/>
      <c r="F14" s="1"/>
    </row>
    <row r="15" spans="1:6" x14ac:dyDescent="0.35">
      <c r="A15" s="1"/>
      <c r="B15" s="66" t="s">
        <v>182</v>
      </c>
      <c r="C15" s="12">
        <f>SUM(C10:C14)</f>
        <v>23231897</v>
      </c>
      <c r="D15" s="13" t="s">
        <v>3</v>
      </c>
      <c r="E15" s="1"/>
      <c r="F15" s="1"/>
    </row>
    <row r="16" spans="1:6" x14ac:dyDescent="0.35">
      <c r="A16" s="1"/>
      <c r="B16" s="66" t="s">
        <v>183</v>
      </c>
      <c r="C16" s="12">
        <f>C15*(1+'Fane 13. Nøgletal'!C15)^2</f>
        <v>24915451.243381921</v>
      </c>
      <c r="D16" s="13" t="s">
        <v>3</v>
      </c>
      <c r="E16" s="1"/>
      <c r="F16" s="1"/>
    </row>
    <row r="17" spans="1:6" x14ac:dyDescent="0.35">
      <c r="A17" s="1"/>
      <c r="B17" s="16"/>
      <c r="C17" s="15"/>
      <c r="D17" s="15"/>
      <c r="E17" s="1"/>
      <c r="F17" s="1"/>
    </row>
    <row r="18" spans="1:6" x14ac:dyDescent="0.35">
      <c r="A18" s="1"/>
      <c r="B18" s="16"/>
      <c r="C18" s="15"/>
      <c r="D18" s="15"/>
      <c r="E18" s="1"/>
      <c r="F18" s="1"/>
    </row>
    <row r="19" spans="1:6" x14ac:dyDescent="0.35">
      <c r="A19" s="1"/>
      <c r="B19" s="1"/>
      <c r="C19" s="1"/>
      <c r="D19" s="1"/>
      <c r="E19" s="1"/>
      <c r="F19" s="1"/>
    </row>
    <row r="20" spans="1:6" x14ac:dyDescent="0.35">
      <c r="A20" s="1"/>
      <c r="B20" s="1"/>
      <c r="C20" s="1"/>
      <c r="D20" s="1"/>
      <c r="E20" s="1"/>
      <c r="F20" s="1"/>
    </row>
    <row r="21" spans="1:6" x14ac:dyDescent="0.35">
      <c r="A21" s="1"/>
      <c r="B21" s="1"/>
      <c r="C21" s="1"/>
      <c r="D21" s="1"/>
      <c r="E21" s="1"/>
      <c r="F21" s="1"/>
    </row>
    <row r="22" spans="1:6" x14ac:dyDescent="0.35">
      <c r="A22" s="1"/>
      <c r="B22" s="1"/>
      <c r="C22" s="1"/>
      <c r="D22" s="1"/>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B51" s="1"/>
      <c r="C51" s="1"/>
      <c r="D51" s="1"/>
    </row>
  </sheetData>
  <sheetProtection algorithmName="SHA-512" hashValue="N6mnhqd32m10J4EIIqXxxuZmzzfVlawZgt70jDXBkUWr9XP1K3UATav3gBcAyolGmm/AJJP6hhrswUBtjMey+A==" saltValue="/WmQfX1TzAjb6J6NztYPv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3"/>
  <dimension ref="A1:G42"/>
  <sheetViews>
    <sheetView showGridLines="0" view="pageLayout" zoomScaleNormal="100" workbookViewId="0"/>
  </sheetViews>
  <sheetFormatPr defaultColWidth="9" defaultRowHeight="14.5" x14ac:dyDescent="0.35"/>
  <cols>
    <col min="1" max="1" width="3.54296875" style="2" customWidth="1"/>
    <col min="2" max="3" width="9" style="2"/>
    <col min="4" max="4" width="47.7265625" style="2" customWidth="1"/>
    <col min="5" max="5" width="10.7265625" style="2" customWidth="1"/>
    <col min="6" max="6" width="3.26953125" style="2" customWidth="1"/>
    <col min="7" max="7" width="2.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09" t="s">
        <v>184</v>
      </c>
      <c r="C3" s="109"/>
      <c r="D3" s="109"/>
      <c r="E3" s="109"/>
      <c r="F3" s="109"/>
      <c r="G3" s="1"/>
    </row>
    <row r="4" spans="1:7" ht="15" customHeight="1" x14ac:dyDescent="0.35">
      <c r="A4" s="1"/>
      <c r="B4" s="109"/>
      <c r="C4" s="109"/>
      <c r="D4" s="109"/>
      <c r="E4" s="109"/>
      <c r="F4" s="109"/>
      <c r="G4" s="1"/>
    </row>
    <row r="5" spans="1:7" ht="15" customHeight="1" x14ac:dyDescent="0.35">
      <c r="A5" s="1"/>
      <c r="B5" s="73"/>
      <c r="C5" s="73"/>
      <c r="D5" s="73"/>
      <c r="E5" s="73"/>
      <c r="F5" s="73"/>
      <c r="G5" s="1"/>
    </row>
    <row r="6" spans="1:7" ht="15" customHeight="1" x14ac:dyDescent="0.35">
      <c r="A6" s="1"/>
      <c r="B6" s="73"/>
      <c r="C6" s="73"/>
      <c r="D6" s="73"/>
      <c r="E6" s="73"/>
      <c r="F6" s="73"/>
      <c r="G6" s="1"/>
    </row>
    <row r="7" spans="1:7" x14ac:dyDescent="0.35">
      <c r="A7" s="1"/>
      <c r="B7" s="1"/>
      <c r="C7" s="1"/>
      <c r="D7" s="1"/>
      <c r="E7" s="1"/>
      <c r="F7" s="1"/>
      <c r="G7" s="1"/>
    </row>
    <row r="8" spans="1:7" x14ac:dyDescent="0.35">
      <c r="A8" s="1"/>
      <c r="B8" s="124" t="s">
        <v>155</v>
      </c>
      <c r="C8" s="125"/>
      <c r="D8" s="125"/>
      <c r="E8" s="125"/>
      <c r="F8" s="126"/>
      <c r="G8" s="1"/>
    </row>
    <row r="9" spans="1:7" x14ac:dyDescent="0.35">
      <c r="A9" s="1"/>
      <c r="B9" s="127" t="s">
        <v>156</v>
      </c>
      <c r="C9" s="128"/>
      <c r="D9" s="129"/>
      <c r="E9" s="9">
        <v>-5496955</v>
      </c>
      <c r="F9" s="14" t="s">
        <v>3</v>
      </c>
      <c r="G9" s="1"/>
    </row>
    <row r="10" spans="1:7" x14ac:dyDescent="0.35">
      <c r="A10" s="1"/>
      <c r="B10" s="142" t="s">
        <v>235</v>
      </c>
      <c r="C10" s="143"/>
      <c r="D10" s="144"/>
      <c r="E10" s="9">
        <v>-5496955</v>
      </c>
      <c r="F10" s="53" t="s">
        <v>3</v>
      </c>
      <c r="G10" s="1"/>
    </row>
    <row r="11" spans="1:7" x14ac:dyDescent="0.35">
      <c r="A11" s="1"/>
      <c r="B11" s="127" t="s">
        <v>185</v>
      </c>
      <c r="C11" s="128"/>
      <c r="D11" s="129"/>
      <c r="E11" s="9">
        <v>-555719.37085625529</v>
      </c>
      <c r="F11" s="14" t="s">
        <v>3</v>
      </c>
      <c r="G11" s="1"/>
    </row>
    <row r="12" spans="1:7" x14ac:dyDescent="0.35">
      <c r="A12" s="1"/>
      <c r="B12" s="66"/>
      <c r="C12" s="67"/>
      <c r="D12" s="67"/>
      <c r="E12" s="67"/>
      <c r="F12" s="19"/>
      <c r="G12" s="1"/>
    </row>
    <row r="13" spans="1:7" ht="64.900000000000006" customHeight="1" x14ac:dyDescent="0.35">
      <c r="A13" s="1"/>
      <c r="B13" s="113" t="s">
        <v>252</v>
      </c>
      <c r="C13" s="114"/>
      <c r="D13" s="114"/>
      <c r="E13" s="114"/>
      <c r="F13" s="115"/>
      <c r="G13" s="1"/>
    </row>
    <row r="14" spans="1:7" ht="27" customHeight="1" x14ac:dyDescent="0.35">
      <c r="A14" s="1"/>
      <c r="B14" s="1"/>
      <c r="C14" s="1"/>
      <c r="D14" s="1"/>
      <c r="E14" s="1"/>
      <c r="F14" s="1"/>
      <c r="G14" s="1"/>
    </row>
    <row r="15" spans="1:7" ht="28.5" customHeight="1" x14ac:dyDescent="0.35">
      <c r="A15" s="1"/>
      <c r="B15" s="124" t="s">
        <v>157</v>
      </c>
      <c r="C15" s="125"/>
      <c r="D15" s="125"/>
      <c r="E15" s="125"/>
      <c r="F15" s="126"/>
      <c r="G15" s="1"/>
    </row>
    <row r="16" spans="1:7" x14ac:dyDescent="0.35">
      <c r="A16" s="1"/>
      <c r="B16" s="127" t="s">
        <v>236</v>
      </c>
      <c r="C16" s="128"/>
      <c r="D16" s="129"/>
      <c r="E16" s="9">
        <f>-138929.842714064*2</f>
        <v>-277859.685428128</v>
      </c>
      <c r="F16" s="14" t="s">
        <v>3</v>
      </c>
      <c r="G16" s="1"/>
    </row>
    <row r="17" spans="1:7" x14ac:dyDescent="0.35">
      <c r="A17" s="1"/>
      <c r="B17" s="127" t="s">
        <v>237</v>
      </c>
      <c r="C17" s="128"/>
      <c r="D17" s="129"/>
      <c r="E17" s="9">
        <f>-138929.842714064*2</f>
        <v>-277859.685428128</v>
      </c>
      <c r="F17" s="14" t="s">
        <v>3</v>
      </c>
      <c r="G17" s="1"/>
    </row>
    <row r="18" spans="1:7" x14ac:dyDescent="0.35">
      <c r="A18" s="1"/>
      <c r="B18" s="66"/>
      <c r="C18" s="67"/>
      <c r="D18" s="67"/>
      <c r="E18" s="67"/>
      <c r="F18" s="19"/>
      <c r="G18" s="1"/>
    </row>
    <row r="19" spans="1:7" ht="31.5" customHeight="1" x14ac:dyDescent="0.35">
      <c r="A19" s="1"/>
      <c r="B19" s="113" t="s">
        <v>158</v>
      </c>
      <c r="C19" s="114"/>
      <c r="D19" s="114"/>
      <c r="E19" s="114"/>
      <c r="F19" s="115"/>
      <c r="G19" s="1"/>
    </row>
    <row r="20" spans="1:7" ht="28.5" customHeight="1" x14ac:dyDescent="0.35">
      <c r="A20" s="1"/>
      <c r="B20" s="1"/>
      <c r="C20" s="1"/>
      <c r="D20" s="1"/>
      <c r="E20" s="1"/>
      <c r="F20" s="1"/>
      <c r="G20" s="1"/>
    </row>
    <row r="21" spans="1:7" ht="28.5" customHeight="1" x14ac:dyDescent="0.35">
      <c r="A21" s="1"/>
      <c r="B21" s="70" t="s">
        <v>186</v>
      </c>
      <c r="C21" s="71"/>
      <c r="D21" s="71"/>
      <c r="E21" s="71"/>
      <c r="F21" s="72"/>
      <c r="G21" s="1"/>
    </row>
    <row r="22" spans="1:7" x14ac:dyDescent="0.35">
      <c r="A22" s="1"/>
      <c r="B22" s="75" t="s">
        <v>238</v>
      </c>
      <c r="C22" s="76"/>
      <c r="D22" s="77"/>
      <c r="E22" s="9">
        <v>65035575.549890146</v>
      </c>
      <c r="F22" s="14" t="s">
        <v>3</v>
      </c>
      <c r="G22" s="1"/>
    </row>
    <row r="23" spans="1:7" x14ac:dyDescent="0.35">
      <c r="A23" s="1"/>
      <c r="B23" s="75" t="s">
        <v>187</v>
      </c>
      <c r="C23" s="76"/>
      <c r="D23" s="77"/>
      <c r="E23" s="9">
        <v>68425077</v>
      </c>
      <c r="F23" s="14" t="s">
        <v>3</v>
      </c>
      <c r="G23" s="1"/>
    </row>
    <row r="24" spans="1:7" x14ac:dyDescent="0.35">
      <c r="A24" s="1"/>
      <c r="B24" s="75" t="s">
        <v>31</v>
      </c>
      <c r="C24" s="76"/>
      <c r="D24" s="77"/>
      <c r="E24" s="9">
        <v>0</v>
      </c>
      <c r="F24" s="14" t="s">
        <v>3</v>
      </c>
      <c r="G24" s="1"/>
    </row>
    <row r="25" spans="1:7" x14ac:dyDescent="0.35">
      <c r="A25" s="1"/>
      <c r="B25" s="50" t="s">
        <v>253</v>
      </c>
      <c r="C25" s="51"/>
      <c r="D25" s="52"/>
      <c r="E25" s="56">
        <f>E22-(E23-E24)</f>
        <v>-3389501.4501098543</v>
      </c>
      <c r="F25" s="17" t="s">
        <v>3</v>
      </c>
      <c r="G25" s="1"/>
    </row>
    <row r="26" spans="1:7" x14ac:dyDescent="0.35">
      <c r="A26" s="1"/>
      <c r="B26" s="66"/>
      <c r="C26" s="67"/>
      <c r="D26" s="67"/>
      <c r="E26" s="67"/>
      <c r="F26" s="19"/>
      <c r="G26" s="1"/>
    </row>
    <row r="27" spans="1:7" x14ac:dyDescent="0.35">
      <c r="A27" s="1"/>
      <c r="B27" s="1"/>
      <c r="C27" s="1"/>
      <c r="D27" s="1"/>
      <c r="E27" s="1"/>
      <c r="F27" s="1"/>
      <c r="G27" s="1"/>
    </row>
    <row r="28" spans="1:7" ht="28.5" customHeight="1" x14ac:dyDescent="0.35">
      <c r="A28" s="1"/>
      <c r="B28" s="124" t="s">
        <v>239</v>
      </c>
      <c r="C28" s="125"/>
      <c r="D28" s="125"/>
      <c r="E28" s="125"/>
      <c r="F28" s="126"/>
      <c r="G28" s="1"/>
    </row>
    <row r="29" spans="1:7" x14ac:dyDescent="0.35">
      <c r="A29" s="1"/>
      <c r="B29" s="145" t="s">
        <v>128</v>
      </c>
      <c r="C29" s="146"/>
      <c r="D29" s="147"/>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-3945220.8209661106</v>
      </c>
      <c r="F29" s="14" t="s">
        <v>3</v>
      </c>
      <c r="G29" s="1"/>
    </row>
    <row r="30" spans="1:7" x14ac:dyDescent="0.35">
      <c r="A30" s="1"/>
      <c r="B30" s="145" t="s">
        <v>93</v>
      </c>
      <c r="C30" s="146"/>
      <c r="D30" s="147"/>
      <c r="E30" s="9">
        <v>2</v>
      </c>
      <c r="F30" s="14" t="s">
        <v>18</v>
      </c>
      <c r="G30" s="1"/>
    </row>
    <row r="31" spans="1:7" x14ac:dyDescent="0.35">
      <c r="A31" s="1"/>
      <c r="B31" s="138" t="s">
        <v>127</v>
      </c>
      <c r="C31" s="138"/>
      <c r="D31" s="138"/>
      <c r="E31" s="10">
        <f>E29/E30</f>
        <v>-1972610.4104830553</v>
      </c>
      <c r="F31" s="17" t="s">
        <v>3</v>
      </c>
      <c r="G31" s="1"/>
    </row>
    <row r="32" spans="1:7" x14ac:dyDescent="0.35">
      <c r="A32" s="1"/>
      <c r="B32" s="139"/>
      <c r="C32" s="140"/>
      <c r="D32" s="140"/>
      <c r="E32" s="140"/>
      <c r="F32" s="14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54"/>
      <c r="B41" s="54"/>
      <c r="C41" s="54"/>
      <c r="D41" s="54"/>
      <c r="E41" s="54"/>
      <c r="F41" s="54"/>
      <c r="G41" s="54"/>
    </row>
    <row r="42" spans="1:7" x14ac:dyDescent="0.35">
      <c r="A42" s="54"/>
      <c r="B42" s="54"/>
      <c r="C42" s="54"/>
      <c r="D42" s="54"/>
      <c r="E42" s="54"/>
      <c r="F42" s="54"/>
      <c r="G42" s="54"/>
    </row>
  </sheetData>
  <sheetProtection algorithmName="SHA-512" hashValue="ew+Dr6igz6J5YUgMauVoBfIyO5Z/IhStRm7PCPIYcepgTY/V9lsuyCU7xt5/pLjq7liljLfX5UgAuB5qQ8X58Q==" saltValue="GmZ3EI9uX538QygondLCA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9"/>
  <dimension ref="A1:I50"/>
  <sheetViews>
    <sheetView view="pageLayout" zoomScaleNormal="100" workbookViewId="0"/>
  </sheetViews>
  <sheetFormatPr defaultColWidth="9" defaultRowHeight="14.5" x14ac:dyDescent="0.35"/>
  <cols>
    <col min="1" max="1" width="4.7265625" style="40" customWidth="1"/>
    <col min="2" max="2" width="22.54296875" style="40" customWidth="1"/>
    <col min="3" max="3" width="8.26953125" style="40" customWidth="1"/>
    <col min="4" max="6" width="10.7265625" style="40" customWidth="1"/>
    <col min="7" max="7" width="11" style="40" customWidth="1"/>
    <col min="8" max="8" width="3.26953125" style="40" customWidth="1"/>
    <col min="9" max="9" width="4.81640625" style="40" customWidth="1"/>
    <col min="10" max="16384" width="9" style="40"/>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01" t="s">
        <v>226</v>
      </c>
      <c r="C3" s="101"/>
      <c r="D3" s="101"/>
      <c r="E3" s="101"/>
      <c r="F3" s="101"/>
      <c r="G3" s="101"/>
      <c r="H3" s="101"/>
      <c r="I3" s="1"/>
    </row>
    <row r="4" spans="1:9" ht="15" customHeight="1" x14ac:dyDescent="0.35">
      <c r="A4" s="1"/>
      <c r="B4" s="101"/>
      <c r="C4" s="101"/>
      <c r="D4" s="101"/>
      <c r="E4" s="101"/>
      <c r="F4" s="101"/>
      <c r="G4" s="101"/>
      <c r="H4" s="10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24" t="s">
        <v>227</v>
      </c>
      <c r="C8" s="125"/>
      <c r="D8" s="125"/>
      <c r="E8" s="125"/>
      <c r="F8" s="125"/>
      <c r="G8" s="125"/>
      <c r="H8" s="126"/>
      <c r="I8" s="1"/>
    </row>
    <row r="9" spans="1:9" ht="15" customHeight="1" x14ac:dyDescent="0.35">
      <c r="A9" s="1"/>
      <c r="B9" s="119" t="s">
        <v>228</v>
      </c>
      <c r="C9" s="120"/>
      <c r="D9" s="120"/>
      <c r="E9" s="120"/>
      <c r="F9" s="120"/>
      <c r="G9" s="120"/>
      <c r="H9" s="121"/>
      <c r="I9" s="1"/>
    </row>
    <row r="10" spans="1:9" x14ac:dyDescent="0.35">
      <c r="A10" s="1"/>
      <c r="B10" s="148" t="s">
        <v>244</v>
      </c>
      <c r="C10" s="149"/>
      <c r="D10" s="149"/>
      <c r="E10" s="149"/>
      <c r="F10" s="150"/>
      <c r="G10" s="55">
        <v>0</v>
      </c>
      <c r="H10" s="9" t="s">
        <v>3</v>
      </c>
      <c r="I10" s="1"/>
    </row>
    <row r="11" spans="1:9" x14ac:dyDescent="0.35">
      <c r="A11" s="1"/>
      <c r="B11" s="148" t="s">
        <v>245</v>
      </c>
      <c r="C11" s="149"/>
      <c r="D11" s="149"/>
      <c r="E11" s="149"/>
      <c r="F11" s="150"/>
      <c r="G11" s="55">
        <v>0</v>
      </c>
      <c r="H11" s="9" t="s">
        <v>3</v>
      </c>
      <c r="I11" s="1"/>
    </row>
    <row r="12" spans="1:9" x14ac:dyDescent="0.35">
      <c r="A12" s="1"/>
      <c r="B12" s="148" t="s">
        <v>246</v>
      </c>
      <c r="C12" s="149"/>
      <c r="D12" s="149"/>
      <c r="E12" s="149"/>
      <c r="F12" s="150"/>
      <c r="G12" s="9">
        <v>0</v>
      </c>
      <c r="H12" s="9" t="s">
        <v>3</v>
      </c>
      <c r="I12" s="1"/>
    </row>
    <row r="13" spans="1:9" x14ac:dyDescent="0.35">
      <c r="A13" s="1"/>
      <c r="B13" s="148" t="s">
        <v>247</v>
      </c>
      <c r="C13" s="149"/>
      <c r="D13" s="149"/>
      <c r="E13" s="149"/>
      <c r="F13" s="150"/>
      <c r="G13" s="9">
        <v>0</v>
      </c>
      <c r="H13" s="9" t="s">
        <v>3</v>
      </c>
      <c r="I13" s="1"/>
    </row>
    <row r="14" spans="1:9" x14ac:dyDescent="0.35">
      <c r="A14" s="1"/>
      <c r="B14" s="148" t="s">
        <v>248</v>
      </c>
      <c r="C14" s="149"/>
      <c r="D14" s="149"/>
      <c r="E14" s="149"/>
      <c r="F14" s="150"/>
      <c r="G14" s="9">
        <v>0</v>
      </c>
      <c r="H14" s="9" t="s">
        <v>3</v>
      </c>
      <c r="I14" s="1"/>
    </row>
    <row r="15" spans="1:9" x14ac:dyDescent="0.35">
      <c r="A15" s="1"/>
      <c r="B15" s="148" t="s">
        <v>249</v>
      </c>
      <c r="C15" s="149"/>
      <c r="D15" s="149"/>
      <c r="E15" s="149"/>
      <c r="F15" s="150"/>
      <c r="G15" s="9">
        <v>0</v>
      </c>
      <c r="H15" s="9" t="s">
        <v>3</v>
      </c>
      <c r="I15" s="1"/>
    </row>
    <row r="16" spans="1:9" x14ac:dyDescent="0.35">
      <c r="A16" s="1"/>
      <c r="B16" s="148" t="s">
        <v>250</v>
      </c>
      <c r="C16" s="149"/>
      <c r="D16" s="149"/>
      <c r="E16" s="149"/>
      <c r="F16" s="150"/>
      <c r="G16" s="9">
        <v>0</v>
      </c>
      <c r="H16" s="9" t="s">
        <v>3</v>
      </c>
      <c r="I16" s="1"/>
    </row>
    <row r="17" spans="1:9" x14ac:dyDescent="0.35">
      <c r="A17" s="1"/>
      <c r="B17" s="148" t="s">
        <v>251</v>
      </c>
      <c r="C17" s="149"/>
      <c r="D17" s="149"/>
      <c r="E17" s="149"/>
      <c r="F17" s="150"/>
      <c r="G17" s="9">
        <v>0</v>
      </c>
      <c r="H17" s="9" t="s">
        <v>3</v>
      </c>
      <c r="I17" s="1"/>
    </row>
    <row r="18" spans="1:9" x14ac:dyDescent="0.35">
      <c r="A18" s="1"/>
      <c r="B18" s="124" t="s">
        <v>229</v>
      </c>
      <c r="C18" s="125"/>
      <c r="D18" s="125"/>
      <c r="E18" s="125"/>
      <c r="F18" s="126"/>
      <c r="G18" s="12">
        <f>SUM(G10:G17)</f>
        <v>0</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CB5I8KyyDZIJkwcS2/i8/5eENGl4it+UXc8JRIY9LsmH+ytIwOQk+QKhWS6rK1cdexF2K3D3YP1GwFnbW1cQbQ==" saltValue="xhRFYoaiKtmam8ctzDHCN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8"/>
  <sheetViews>
    <sheetView showGridLines="0" view="pageLayout" zoomScaleNormal="100" workbookViewId="0"/>
  </sheetViews>
  <sheetFormatPr defaultColWidth="9" defaultRowHeight="14.5" x14ac:dyDescent="0.35"/>
  <cols>
    <col min="1" max="1" width="3.81640625" style="2" customWidth="1"/>
    <col min="2" max="2" width="21" style="2" customWidth="1"/>
    <col min="3" max="3" width="7.26953125" style="2" customWidth="1"/>
    <col min="4" max="4" width="9.26953125" style="2" customWidth="1"/>
    <col min="5" max="5" width="2.7265625" style="2" customWidth="1"/>
    <col min="6" max="6" width="10" style="2" customWidth="1"/>
    <col min="7" max="7" width="2.7265625" style="2" customWidth="1"/>
    <col min="8" max="8" width="10" style="2" customWidth="1"/>
    <col min="9" max="9" width="2.7265625" style="2" customWidth="1"/>
    <col min="10" max="10" width="10" style="2" customWidth="1"/>
    <col min="11" max="11" width="3" style="2" customWidth="1"/>
    <col min="12" max="12" width="3.81640625" style="2" customWidth="1"/>
    <col min="13" max="16384" width="9"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101" t="s">
        <v>220</v>
      </c>
      <c r="C3" s="101"/>
      <c r="D3" s="101"/>
      <c r="E3" s="101"/>
      <c r="F3" s="101"/>
      <c r="G3" s="101"/>
      <c r="H3" s="101"/>
      <c r="I3" s="101"/>
      <c r="J3" s="101"/>
      <c r="K3" s="101"/>
      <c r="L3" s="1"/>
    </row>
    <row r="4" spans="1:12" ht="15" customHeight="1" x14ac:dyDescent="0.35">
      <c r="A4" s="1"/>
      <c r="B4" s="101"/>
      <c r="C4" s="101"/>
      <c r="D4" s="101"/>
      <c r="E4" s="101"/>
      <c r="F4" s="101"/>
      <c r="G4" s="101"/>
      <c r="H4" s="101"/>
      <c r="I4" s="101"/>
      <c r="J4" s="101"/>
      <c r="K4" s="101"/>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24" t="s">
        <v>192</v>
      </c>
      <c r="C8" s="125"/>
      <c r="D8" s="125"/>
      <c r="E8" s="125"/>
      <c r="F8" s="125"/>
      <c r="G8" s="125"/>
      <c r="H8" s="125"/>
      <c r="I8" s="125"/>
      <c r="J8" s="125"/>
      <c r="K8" s="126"/>
      <c r="L8" s="1"/>
    </row>
    <row r="9" spans="1:12" ht="39.75" customHeight="1" x14ac:dyDescent="0.35">
      <c r="A9" s="1"/>
      <c r="B9" s="18" t="s">
        <v>0</v>
      </c>
      <c r="C9" s="18" t="s">
        <v>1</v>
      </c>
      <c r="D9" s="151" t="s">
        <v>213</v>
      </c>
      <c r="E9" s="152"/>
      <c r="F9" s="151" t="s">
        <v>2</v>
      </c>
      <c r="G9" s="152"/>
      <c r="H9" s="151" t="s">
        <v>214</v>
      </c>
      <c r="I9" s="152"/>
      <c r="J9" s="151" t="s">
        <v>28</v>
      </c>
      <c r="K9" s="152"/>
      <c r="L9" s="1"/>
    </row>
    <row r="10" spans="1:12" x14ac:dyDescent="0.35">
      <c r="A10" s="1"/>
      <c r="B10" s="80" t="s">
        <v>230</v>
      </c>
      <c r="C10" s="29">
        <v>0</v>
      </c>
      <c r="D10" s="9">
        <v>0</v>
      </c>
      <c r="E10" s="14" t="s">
        <v>3</v>
      </c>
      <c r="F10" s="39">
        <f>IFERROR(D10/C10,0)</f>
        <v>0</v>
      </c>
      <c r="G10" s="14" t="s">
        <v>3</v>
      </c>
      <c r="H10" s="9">
        <v>0</v>
      </c>
      <c r="I10" s="14" t="s">
        <v>3</v>
      </c>
      <c r="J10" s="9">
        <v>0</v>
      </c>
      <c r="K10" s="14" t="s">
        <v>3</v>
      </c>
      <c r="L10" s="1"/>
    </row>
    <row r="11" spans="1:12" x14ac:dyDescent="0.35">
      <c r="A11" s="1"/>
      <c r="B11" s="66" t="s">
        <v>193</v>
      </c>
      <c r="C11" s="67"/>
      <c r="D11" s="19"/>
      <c r="E11" s="72"/>
      <c r="F11" s="12">
        <f>SUM(F10:F10)</f>
        <v>0</v>
      </c>
      <c r="G11" s="13" t="s">
        <v>3</v>
      </c>
      <c r="H11" s="12">
        <f>SUM(H10:H10)</f>
        <v>0</v>
      </c>
      <c r="I11" s="13" t="s">
        <v>3</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row r="47" spans="1:12" x14ac:dyDescent="0.35">
      <c r="A47" s="1"/>
      <c r="B47" s="1"/>
      <c r="C47" s="1"/>
      <c r="D47" s="1"/>
      <c r="E47" s="1"/>
      <c r="F47" s="1"/>
      <c r="G47" s="1"/>
      <c r="H47" s="1"/>
      <c r="I47" s="1"/>
      <c r="J47" s="1"/>
      <c r="K47" s="1"/>
      <c r="L47" s="1"/>
    </row>
    <row r="48" spans="1:12" x14ac:dyDescent="0.35">
      <c r="A48" s="1"/>
      <c r="B48" s="1"/>
      <c r="C48" s="1"/>
      <c r="D48" s="1"/>
      <c r="E48" s="1"/>
      <c r="F48" s="1"/>
      <c r="G48" s="1"/>
      <c r="H48" s="1"/>
      <c r="I48" s="1"/>
      <c r="J48" s="1"/>
      <c r="K48" s="1"/>
      <c r="L48" s="1"/>
    </row>
  </sheetData>
  <sheetProtection algorithmName="SHA-512" hashValue="F7UAtuUXQI4IsUecfWh3xKoHgQOFrl8WXffdWj5QRhTksveLZ7z21T463udcJykIz12OfdcUmwPToRPZpxx60g==" saltValue="iBUcm7s3LR0a3cyDlJcXl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1"/>
  <sheetViews>
    <sheetView showGridLines="0" view="pageLayout" zoomScaleNormal="100" workbookViewId="0">
      <selection activeCell="C15" sqref="C15"/>
    </sheetView>
  </sheetViews>
  <sheetFormatPr defaultColWidth="9" defaultRowHeight="14.5" x14ac:dyDescent="0.35"/>
  <cols>
    <col min="1" max="1" width="5" style="2" customWidth="1"/>
    <col min="2" max="2" width="34.26953125" style="2" customWidth="1"/>
    <col min="3" max="3" width="17.26953125" style="2" customWidth="1"/>
    <col min="4" max="4" width="3.26953125" style="2" customWidth="1"/>
    <col min="5" max="5" width="17.26953125" style="2" customWidth="1"/>
    <col min="6" max="6" width="3.26953125" style="2" customWidth="1"/>
    <col min="7" max="7" width="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1" t="s">
        <v>221</v>
      </c>
      <c r="C3" s="101"/>
      <c r="D3" s="101"/>
      <c r="E3" s="101"/>
      <c r="F3" s="101"/>
      <c r="G3" s="1"/>
    </row>
    <row r="4" spans="1:7" ht="15" customHeight="1" x14ac:dyDescent="0.35">
      <c r="A4" s="1"/>
      <c r="B4" s="101"/>
      <c r="C4" s="101"/>
      <c r="D4" s="101"/>
      <c r="E4" s="101"/>
      <c r="F4" s="10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66" t="s">
        <v>75</v>
      </c>
      <c r="C8" s="67"/>
      <c r="D8" s="67"/>
      <c r="E8" s="67"/>
      <c r="F8" s="19"/>
      <c r="G8" s="1"/>
    </row>
    <row r="9" spans="1:7" ht="17.25" customHeight="1" x14ac:dyDescent="0.35">
      <c r="A9" s="1"/>
      <c r="B9" s="64" t="s">
        <v>15</v>
      </c>
      <c r="C9" s="64" t="s">
        <v>10</v>
      </c>
      <c r="D9" s="65"/>
      <c r="E9" s="64" t="s">
        <v>29</v>
      </c>
      <c r="F9" s="69"/>
      <c r="G9" s="1"/>
    </row>
    <row r="10" spans="1:7" x14ac:dyDescent="0.35">
      <c r="A10" s="1"/>
      <c r="B10" s="22" t="s">
        <v>203</v>
      </c>
      <c r="C10" s="21">
        <f>'Fane 9. Anlægsprojekter (§ 19) '!H11</f>
        <v>0</v>
      </c>
      <c r="D10" s="14" t="s">
        <v>3</v>
      </c>
      <c r="E10" s="9">
        <f>'Fane 9. Anlægsprojekter (§ 19) '!F11+'Fane 9. Anlægsprojekter (§ 19) '!J11</f>
        <v>0</v>
      </c>
      <c r="F10" s="14" t="s">
        <v>3</v>
      </c>
      <c r="G10" s="1"/>
    </row>
    <row r="11" spans="1:7" x14ac:dyDescent="0.35">
      <c r="A11" s="1"/>
      <c r="B11" s="26" t="s">
        <v>242</v>
      </c>
      <c r="C11" s="21">
        <v>597930</v>
      </c>
      <c r="D11" s="14" t="s">
        <v>3</v>
      </c>
      <c r="E11" s="9">
        <v>0</v>
      </c>
      <c r="F11" s="14" t="s">
        <v>3</v>
      </c>
      <c r="G11" s="1"/>
    </row>
    <row r="12" spans="1:7" x14ac:dyDescent="0.35">
      <c r="A12" s="1"/>
      <c r="B12" s="26" t="s">
        <v>243</v>
      </c>
      <c r="C12" s="21">
        <v>96533</v>
      </c>
      <c r="D12" s="14" t="s">
        <v>3</v>
      </c>
      <c r="E12" s="9">
        <v>69207</v>
      </c>
      <c r="F12" s="14" t="s">
        <v>3</v>
      </c>
      <c r="G12" s="1"/>
    </row>
    <row r="13" spans="1:7" x14ac:dyDescent="0.35">
      <c r="A13" s="1"/>
      <c r="B13" s="82" t="s">
        <v>255</v>
      </c>
      <c r="C13" s="21">
        <v>361271.33333333302</v>
      </c>
      <c r="D13" s="14" t="s">
        <v>3</v>
      </c>
      <c r="E13" s="9">
        <v>555355.83168740699</v>
      </c>
      <c r="F13" s="14" t="s">
        <v>3</v>
      </c>
      <c r="G13" s="1"/>
    </row>
    <row r="14" spans="1:7" x14ac:dyDescent="0.35">
      <c r="A14" s="1"/>
      <c r="B14" s="66" t="s">
        <v>148</v>
      </c>
      <c r="C14" s="12">
        <f>SUM(C10:C13)</f>
        <v>1055734.333333333</v>
      </c>
      <c r="D14" s="13" t="s">
        <v>3</v>
      </c>
      <c r="E14" s="12">
        <f>SUM(E10:E13)</f>
        <v>624562.83168740699</v>
      </c>
      <c r="F14" s="13" t="s">
        <v>3</v>
      </c>
      <c r="G14" s="1"/>
    </row>
    <row r="15" spans="1:7" x14ac:dyDescent="0.35">
      <c r="A15" s="1"/>
      <c r="B15" s="66" t="s">
        <v>188</v>
      </c>
      <c r="C15" s="12">
        <f>C14*(1+'Fane 13. Nøgletal'!C15)</f>
        <v>1093318.4755999998</v>
      </c>
      <c r="D15" s="13" t="s">
        <v>3</v>
      </c>
      <c r="E15" s="12">
        <f>E14*(1+'Fane 13. Nøgletal'!C15)</f>
        <v>646797.26849547867</v>
      </c>
      <c r="F15" s="13" t="s">
        <v>3</v>
      </c>
      <c r="G15" s="1"/>
    </row>
    <row r="16" spans="1:7" x14ac:dyDescent="0.35">
      <c r="A16" s="1"/>
      <c r="B16" s="1"/>
      <c r="C16" s="1" t="s">
        <v>210</v>
      </c>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B51" s="1"/>
      <c r="C51" s="1"/>
      <c r="D51" s="1"/>
      <c r="E51" s="1"/>
      <c r="F51" s="1"/>
    </row>
  </sheetData>
  <sheetProtection algorithmName="SHA-512" hashValue="bPkpmOhT+y2mNcqpcno3QjcQQ/DhsErb716lPfFk3OxZqNk7xp6BGO01NxHCUCIaw015yp6LqZA1cXg491+X2A==" saltValue="I3lrC2VU+YlkODDHK5HmJ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 defaultRowHeight="14.5" x14ac:dyDescent="0.35"/>
  <cols>
    <col min="1" max="1" width="5" style="2" customWidth="1"/>
    <col min="2" max="2" width="34.26953125" style="2" customWidth="1"/>
    <col min="3" max="3" width="17.26953125" style="2" customWidth="1"/>
    <col min="4" max="4" width="3.26953125" style="2" customWidth="1"/>
    <col min="5" max="5" width="17.26953125" style="2" customWidth="1"/>
    <col min="6" max="6" width="3.26953125" style="2" customWidth="1"/>
    <col min="7" max="7" width="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1" t="s">
        <v>222</v>
      </c>
      <c r="C3" s="101"/>
      <c r="D3" s="101"/>
      <c r="E3" s="101"/>
      <c r="F3" s="101"/>
      <c r="G3" s="1"/>
    </row>
    <row r="4" spans="1:7" ht="15" customHeight="1" x14ac:dyDescent="0.35">
      <c r="A4" s="1"/>
      <c r="B4" s="101"/>
      <c r="C4" s="101"/>
      <c r="D4" s="101"/>
      <c r="E4" s="101"/>
      <c r="F4" s="10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124" t="s">
        <v>88</v>
      </c>
      <c r="C9" s="125"/>
      <c r="D9" s="125"/>
      <c r="E9" s="125"/>
      <c r="F9" s="126"/>
      <c r="G9" s="1"/>
    </row>
    <row r="10" spans="1:7" x14ac:dyDescent="0.35">
      <c r="A10" s="1"/>
      <c r="B10" s="64" t="s">
        <v>15</v>
      </c>
      <c r="C10" s="64" t="s">
        <v>10</v>
      </c>
      <c r="D10" s="65"/>
      <c r="E10" s="64" t="s">
        <v>29</v>
      </c>
      <c r="F10" s="69"/>
      <c r="G10" s="1"/>
    </row>
    <row r="11" spans="1:7" x14ac:dyDescent="0.35">
      <c r="A11" s="1"/>
      <c r="B11" s="22" t="s">
        <v>254</v>
      </c>
      <c r="C11" s="21">
        <v>50400</v>
      </c>
      <c r="D11" s="14" t="s">
        <v>3</v>
      </c>
      <c r="E11" s="9">
        <v>0</v>
      </c>
      <c r="F11" s="14" t="s">
        <v>3</v>
      </c>
      <c r="G11" s="1"/>
    </row>
    <row r="12" spans="1:7" x14ac:dyDescent="0.35">
      <c r="A12" s="1"/>
      <c r="B12" s="66" t="s">
        <v>195</v>
      </c>
      <c r="C12" s="12">
        <f>SUM(C11:C11)</f>
        <v>50400</v>
      </c>
      <c r="D12" s="13" t="s">
        <v>3</v>
      </c>
      <c r="E12" s="12">
        <f>SUM(E11:E11)</f>
        <v>0</v>
      </c>
      <c r="F12" s="13" t="s">
        <v>3</v>
      </c>
      <c r="G12" s="1"/>
    </row>
    <row r="13" spans="1:7" x14ac:dyDescent="0.35">
      <c r="A13" s="1"/>
      <c r="B13" s="66" t="s">
        <v>119</v>
      </c>
      <c r="C13" s="12">
        <f>C12*(1+'Fane 13. Nøgletal'!$C$15)^2</f>
        <v>54052.354944000006</v>
      </c>
      <c r="D13" s="13" t="s">
        <v>3</v>
      </c>
      <c r="E13" s="12">
        <f>E12*(1+'Fane 13. Nøgletal'!$C$15)^2</f>
        <v>0</v>
      </c>
      <c r="F13" s="13" t="s">
        <v>3</v>
      </c>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ht="18" customHeight="1"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bcUmz3CsdMmsj3swJnqJ1KOei/wCfE1VoVkJ4XAIVhhXyWwRAukRTPxKsX3TvRB0EL3QJkXQBDe7vHStPqGtkg==" saltValue="mqCLOFHPiCa6T8SJJa586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 defaultRowHeight="14.5" x14ac:dyDescent="0.35"/>
  <cols>
    <col min="1" max="1" width="5.26953125" style="2" customWidth="1"/>
    <col min="2" max="2" width="41" style="2" bestFit="1" customWidth="1"/>
    <col min="3" max="3" width="13.81640625" style="2" customWidth="1"/>
    <col min="4" max="4" width="3.26953125" style="2" customWidth="1"/>
    <col min="5" max="5" width="13.81640625" style="2" customWidth="1"/>
    <col min="6" max="6" width="3.26953125" style="2" customWidth="1"/>
    <col min="7" max="7" width="5.816406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9" t="s">
        <v>223</v>
      </c>
      <c r="C3" s="109"/>
      <c r="D3" s="109"/>
      <c r="E3" s="109"/>
      <c r="F3" s="109"/>
      <c r="G3" s="1"/>
    </row>
    <row r="4" spans="1:7" ht="25.5" customHeight="1" x14ac:dyDescent="0.35">
      <c r="A4" s="1"/>
      <c r="B4" s="109"/>
      <c r="C4" s="109"/>
      <c r="D4" s="109"/>
      <c r="E4" s="109"/>
      <c r="F4" s="10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24" t="s">
        <v>112</v>
      </c>
      <c r="C8" s="125"/>
      <c r="D8" s="125"/>
      <c r="E8" s="125"/>
      <c r="F8" s="126"/>
      <c r="G8" s="1"/>
    </row>
    <row r="9" spans="1:7" ht="15" customHeight="1" x14ac:dyDescent="0.35">
      <c r="A9" s="1"/>
      <c r="B9" s="68" t="s">
        <v>113</v>
      </c>
      <c r="C9" s="119" t="s">
        <v>10</v>
      </c>
      <c r="D9" s="121"/>
      <c r="E9" s="119" t="s">
        <v>29</v>
      </c>
      <c r="F9" s="121"/>
      <c r="G9" s="1"/>
    </row>
    <row r="10" spans="1:7" x14ac:dyDescent="0.35">
      <c r="A10" s="1"/>
      <c r="B10" s="22" t="s">
        <v>240</v>
      </c>
      <c r="C10" s="9">
        <v>0</v>
      </c>
      <c r="D10" s="14" t="s">
        <v>3</v>
      </c>
      <c r="E10" s="9">
        <v>0</v>
      </c>
      <c r="F10" s="14" t="s">
        <v>3</v>
      </c>
      <c r="G10" s="1"/>
    </row>
    <row r="11" spans="1:7" ht="28.5" customHeight="1" x14ac:dyDescent="0.35">
      <c r="A11" s="1"/>
      <c r="B11" s="20" t="s">
        <v>149</v>
      </c>
      <c r="C11" s="12">
        <f>SUM(C10:C10)</f>
        <v>0</v>
      </c>
      <c r="D11" s="13" t="s">
        <v>3</v>
      </c>
      <c r="E11" s="12">
        <f>SUM(E10:E10)</f>
        <v>0</v>
      </c>
      <c r="F11" s="13" t="s">
        <v>3</v>
      </c>
      <c r="G11" s="1"/>
    </row>
    <row r="12" spans="1:7" ht="27" customHeight="1" x14ac:dyDescent="0.35">
      <c r="A12" s="1"/>
      <c r="B12" s="20" t="s">
        <v>189</v>
      </c>
      <c r="C12" s="12">
        <f>C11*(1+'Fane 13. Nøgletal'!C15)</f>
        <v>0</v>
      </c>
      <c r="D12" s="13" t="s">
        <v>3</v>
      </c>
      <c r="E12" s="12">
        <f>E11*(1+'Fane 13. Nøgletal'!C15)</f>
        <v>0</v>
      </c>
      <c r="F12" s="13"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1qXdXsrF6OY+BDYMymK850LWDGh4ir1PDlCeiansQboil6+KH3KEUW2TArQpSsqKXamoHw/S9P3tOj+lQIyBuw==" saltValue="/wdIKcfl8svjC41fpMKbl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 defaultRowHeight="14.5" x14ac:dyDescent="0.35"/>
  <cols>
    <col min="1" max="1" width="5" style="2" customWidth="1"/>
    <col min="2" max="2" width="36.26953125" style="2" customWidth="1"/>
    <col min="3" max="3" width="17" style="2" customWidth="1"/>
    <col min="4" max="4" width="3.26953125" style="2" customWidth="1"/>
    <col min="5" max="5" width="17" style="2" customWidth="1"/>
    <col min="6" max="6" width="3.26953125" style="2" customWidth="1"/>
    <col min="7" max="7" width="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9" t="s">
        <v>224</v>
      </c>
      <c r="C3" s="109"/>
      <c r="D3" s="109"/>
      <c r="E3" s="109"/>
      <c r="F3" s="109"/>
      <c r="G3" s="1"/>
    </row>
    <row r="4" spans="1:7" ht="25.5" customHeight="1" x14ac:dyDescent="0.35">
      <c r="A4" s="1"/>
      <c r="B4" s="109"/>
      <c r="C4" s="109"/>
      <c r="D4" s="109"/>
      <c r="E4" s="109"/>
      <c r="F4" s="10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
      <c r="C9" s="1"/>
      <c r="D9" s="1"/>
      <c r="E9" s="1"/>
      <c r="F9" s="1"/>
      <c r="G9" s="1"/>
    </row>
    <row r="10" spans="1:7" x14ac:dyDescent="0.35">
      <c r="A10" s="1"/>
      <c r="B10" s="124" t="s">
        <v>85</v>
      </c>
      <c r="C10" s="125"/>
      <c r="D10" s="125"/>
      <c r="E10" s="125"/>
      <c r="F10" s="126"/>
      <c r="G10" s="1"/>
    </row>
    <row r="11" spans="1:7" ht="26.25" customHeight="1" x14ac:dyDescent="0.35">
      <c r="A11" s="1"/>
      <c r="B11" s="68" t="s">
        <v>16</v>
      </c>
      <c r="C11" s="68" t="s">
        <v>10</v>
      </c>
      <c r="D11" s="69"/>
      <c r="E11" s="119" t="s">
        <v>29</v>
      </c>
      <c r="F11" s="121"/>
      <c r="G11" s="1"/>
    </row>
    <row r="12" spans="1:7" x14ac:dyDescent="0.35">
      <c r="A12" s="1"/>
      <c r="B12" s="22" t="s">
        <v>241</v>
      </c>
      <c r="C12" s="9">
        <v>0</v>
      </c>
      <c r="D12" s="14" t="s">
        <v>3</v>
      </c>
      <c r="E12" s="9">
        <v>0</v>
      </c>
      <c r="F12" s="14" t="s">
        <v>3</v>
      </c>
      <c r="G12" s="1"/>
    </row>
    <row r="13" spans="1:7" x14ac:dyDescent="0.35">
      <c r="A13" s="1"/>
      <c r="B13" s="66" t="s">
        <v>196</v>
      </c>
      <c r="C13" s="12">
        <f>SUM(C12:C12)</f>
        <v>0</v>
      </c>
      <c r="D13" s="13" t="s">
        <v>3</v>
      </c>
      <c r="E13" s="12">
        <f>SUM(E12:E12)</f>
        <v>0</v>
      </c>
      <c r="F13" s="13" t="s">
        <v>3</v>
      </c>
      <c r="G13" s="1"/>
    </row>
    <row r="14" spans="1:7" x14ac:dyDescent="0.35">
      <c r="A14" s="1"/>
      <c r="B14" s="66" t="s">
        <v>83</v>
      </c>
      <c r="C14" s="12">
        <f>C13*(1+'Fane 13. Nøgletal'!C15)</f>
        <v>0</v>
      </c>
      <c r="D14" s="13" t="s">
        <v>3</v>
      </c>
      <c r="E14" s="12">
        <f>E13*(1+'Fane 13. Nøgletal'!C15)</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igbwOe13f082z97mWyhQL4HSDc6Plycuh1iamTboezJSKdq56/Ec+FKAFEfU9iXoRcE18gOOhim4lTDwd7VzPQ==" saltValue="qtRY6t1qyroh7tboDF7Nwg==" spinCount="100000" sheet="1" objects="1" scenarios="1"/>
  <mergeCells count="3">
    <mergeCell ref="B3:F4"/>
    <mergeCell ref="B10:F10"/>
    <mergeCell ref="E11:F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49"/>
  <sheetViews>
    <sheetView showGridLines="0" view="pageLayout" zoomScaleNormal="100" workbookViewId="0"/>
  </sheetViews>
  <sheetFormatPr defaultColWidth="9" defaultRowHeight="14.5" x14ac:dyDescent="0.35"/>
  <cols>
    <col min="1" max="1" width="9" style="2" customWidth="1"/>
    <col min="2" max="2" width="56.26953125" style="2" customWidth="1"/>
    <col min="3" max="3" width="6.7265625" style="49" customWidth="1"/>
    <col min="4" max="4" width="9" style="2" customWidth="1"/>
    <col min="5" max="16384" width="9" style="2"/>
  </cols>
  <sheetData>
    <row r="1" spans="1:4" x14ac:dyDescent="0.35">
      <c r="A1" s="1"/>
      <c r="B1" s="1"/>
      <c r="C1" s="44"/>
      <c r="D1" s="1"/>
    </row>
    <row r="2" spans="1:4" x14ac:dyDescent="0.35">
      <c r="A2" s="1"/>
      <c r="B2" s="1"/>
      <c r="C2" s="44"/>
      <c r="D2" s="1"/>
    </row>
    <row r="3" spans="1:4" ht="15" customHeight="1" x14ac:dyDescent="0.35">
      <c r="A3" s="1"/>
      <c r="B3" s="109" t="s">
        <v>225</v>
      </c>
      <c r="C3" s="109"/>
      <c r="D3" s="1"/>
    </row>
    <row r="4" spans="1:4" ht="25.5" customHeight="1" x14ac:dyDescent="0.35">
      <c r="A4" s="1"/>
      <c r="B4" s="109"/>
      <c r="C4" s="109"/>
      <c r="D4" s="1"/>
    </row>
    <row r="5" spans="1:4" x14ac:dyDescent="0.35">
      <c r="A5" s="1"/>
      <c r="B5" s="1"/>
      <c r="C5" s="44"/>
      <c r="D5" s="1"/>
    </row>
    <row r="6" spans="1:4" x14ac:dyDescent="0.35">
      <c r="A6" s="1"/>
      <c r="B6" s="1"/>
      <c r="C6" s="44"/>
      <c r="D6" s="1"/>
    </row>
    <row r="7" spans="1:4" x14ac:dyDescent="0.35">
      <c r="A7" s="1"/>
      <c r="B7" s="1"/>
      <c r="C7" s="44"/>
      <c r="D7" s="1"/>
    </row>
    <row r="8" spans="1:4" x14ac:dyDescent="0.35">
      <c r="A8" s="1"/>
      <c r="B8" s="66" t="s">
        <v>13</v>
      </c>
      <c r="C8" s="45"/>
      <c r="D8" s="1"/>
    </row>
    <row r="9" spans="1:4" x14ac:dyDescent="0.35">
      <c r="A9" s="1"/>
      <c r="B9" s="78" t="s">
        <v>101</v>
      </c>
      <c r="C9" s="46">
        <v>1.2699999999999999E-2</v>
      </c>
      <c r="D9" s="1"/>
    </row>
    <row r="10" spans="1:4" x14ac:dyDescent="0.35">
      <c r="A10" s="1"/>
      <c r="B10" s="78" t="s">
        <v>21</v>
      </c>
      <c r="C10" s="46">
        <v>1.7500000000000002E-2</v>
      </c>
      <c r="D10" s="1"/>
    </row>
    <row r="11" spans="1:4" x14ac:dyDescent="0.35">
      <c r="A11" s="1"/>
      <c r="B11" s="78" t="s">
        <v>102</v>
      </c>
      <c r="C11" s="46">
        <v>1.6899999999999998E-2</v>
      </c>
      <c r="D11" s="1"/>
    </row>
    <row r="12" spans="1:4" x14ac:dyDescent="0.35">
      <c r="A12" s="1"/>
      <c r="B12" s="24" t="s">
        <v>37</v>
      </c>
      <c r="C12" s="47">
        <v>1.9699999999999999E-2</v>
      </c>
      <c r="D12" s="1"/>
    </row>
    <row r="13" spans="1:4" x14ac:dyDescent="0.35">
      <c r="A13" s="1"/>
      <c r="B13" s="24" t="s">
        <v>118</v>
      </c>
      <c r="C13" s="47">
        <v>1.2200000000000001E-2</v>
      </c>
      <c r="D13" s="1"/>
    </row>
    <row r="14" spans="1:4" x14ac:dyDescent="0.35">
      <c r="A14" s="1"/>
      <c r="B14" s="24" t="s">
        <v>150</v>
      </c>
      <c r="C14" s="48">
        <v>3.3E-3</v>
      </c>
      <c r="D14" s="1"/>
    </row>
    <row r="15" spans="1:4" x14ac:dyDescent="0.35">
      <c r="A15" s="1"/>
      <c r="B15" s="24" t="s">
        <v>190</v>
      </c>
      <c r="C15" s="48">
        <v>3.56E-2</v>
      </c>
      <c r="D15" s="1"/>
    </row>
    <row r="16" spans="1:4" x14ac:dyDescent="0.35">
      <c r="A16" s="1"/>
      <c r="B16" s="124"/>
      <c r="C16" s="126"/>
      <c r="D16" s="1"/>
    </row>
    <row r="17" spans="1:4" x14ac:dyDescent="0.35">
      <c r="A17" s="1"/>
      <c r="B17" s="1"/>
      <c r="C17" s="44"/>
      <c r="D17" s="1"/>
    </row>
    <row r="18" spans="1:4" x14ac:dyDescent="0.35">
      <c r="A18" s="1"/>
      <c r="B18" s="1"/>
      <c r="C18" s="44"/>
      <c r="D18" s="1"/>
    </row>
    <row r="19" spans="1:4" x14ac:dyDescent="0.35">
      <c r="A19" s="1"/>
      <c r="B19" s="66" t="s">
        <v>89</v>
      </c>
      <c r="C19" s="45"/>
      <c r="D19" s="1"/>
    </row>
    <row r="20" spans="1:4" x14ac:dyDescent="0.35">
      <c r="A20" s="1"/>
      <c r="B20" s="78" t="s">
        <v>103</v>
      </c>
      <c r="C20" s="48">
        <v>9.1000000000000004E-3</v>
      </c>
      <c r="D20" s="1"/>
    </row>
    <row r="21" spans="1:4" x14ac:dyDescent="0.35">
      <c r="A21" s="1"/>
      <c r="B21" s="78" t="s">
        <v>104</v>
      </c>
      <c r="C21" s="48">
        <v>1.77E-2</v>
      </c>
      <c r="D21" s="1"/>
    </row>
    <row r="22" spans="1:4" x14ac:dyDescent="0.35">
      <c r="A22" s="1"/>
      <c r="B22" s="78" t="s">
        <v>105</v>
      </c>
      <c r="C22" s="48">
        <v>8.6999999999999994E-3</v>
      </c>
      <c r="D22" s="1"/>
    </row>
    <row r="23" spans="1:4" x14ac:dyDescent="0.35">
      <c r="A23" s="1"/>
      <c r="B23" s="78" t="s">
        <v>106</v>
      </c>
      <c r="C23" s="48">
        <v>2.8399999999999998E-2</v>
      </c>
      <c r="D23" s="1"/>
    </row>
    <row r="24" spans="1:4" x14ac:dyDescent="0.35">
      <c r="A24" s="1"/>
      <c r="B24" s="78" t="s">
        <v>120</v>
      </c>
      <c r="C24" s="48">
        <v>2.75E-2</v>
      </c>
      <c r="D24" s="1"/>
    </row>
    <row r="25" spans="1:4" x14ac:dyDescent="0.35">
      <c r="A25" s="1"/>
      <c r="B25" s="78" t="s">
        <v>151</v>
      </c>
      <c r="C25" s="48">
        <v>1.4800000000000001E-2</v>
      </c>
      <c r="D25" s="1"/>
    </row>
    <row r="26" spans="1:4" x14ac:dyDescent="0.35">
      <c r="A26" s="1"/>
      <c r="B26" s="24" t="s">
        <v>191</v>
      </c>
      <c r="C26" s="48">
        <v>0</v>
      </c>
      <c r="D26" s="1"/>
    </row>
    <row r="27" spans="1:4" x14ac:dyDescent="0.35">
      <c r="A27" s="1"/>
      <c r="B27" s="66"/>
      <c r="C27" s="45"/>
      <c r="D27" s="1"/>
    </row>
    <row r="28" spans="1:4" x14ac:dyDescent="0.35">
      <c r="A28" s="1"/>
      <c r="B28" s="1"/>
      <c r="C28" s="44"/>
      <c r="D28" s="1"/>
    </row>
    <row r="29" spans="1:4" x14ac:dyDescent="0.35">
      <c r="A29" s="1"/>
      <c r="B29" s="1"/>
      <c r="C29" s="44"/>
      <c r="D29" s="1"/>
    </row>
    <row r="30" spans="1:4" x14ac:dyDescent="0.35">
      <c r="A30" s="1"/>
      <c r="B30" s="66" t="s">
        <v>90</v>
      </c>
      <c r="C30" s="45"/>
      <c r="D30" s="1"/>
    </row>
    <row r="31" spans="1:4" x14ac:dyDescent="0.35">
      <c r="A31" s="1"/>
      <c r="B31" s="78" t="s">
        <v>107</v>
      </c>
      <c r="C31" s="46">
        <v>0.02</v>
      </c>
      <c r="D31" s="1"/>
    </row>
    <row r="32" spans="1:4" x14ac:dyDescent="0.35">
      <c r="A32" s="1"/>
      <c r="B32" s="66"/>
      <c r="C32" s="45"/>
      <c r="D32" s="1"/>
    </row>
    <row r="33" spans="1:4" x14ac:dyDescent="0.35">
      <c r="A33" s="1"/>
      <c r="B33" s="1"/>
      <c r="C33" s="44"/>
      <c r="D33" s="1"/>
    </row>
    <row r="34" spans="1:4" x14ac:dyDescent="0.35">
      <c r="A34" s="1"/>
      <c r="B34" s="1"/>
      <c r="C34" s="44"/>
      <c r="D34" s="1"/>
    </row>
    <row r="35" spans="1:4" x14ac:dyDescent="0.35">
      <c r="A35" s="1"/>
      <c r="B35" s="1"/>
      <c r="C35" s="44"/>
      <c r="D35" s="1"/>
    </row>
    <row r="36" spans="1:4" x14ac:dyDescent="0.35">
      <c r="A36" s="1"/>
      <c r="B36" s="1"/>
      <c r="C36" s="44"/>
      <c r="D36" s="1"/>
    </row>
    <row r="37" spans="1:4" x14ac:dyDescent="0.35">
      <c r="A37" s="1"/>
      <c r="B37" s="1"/>
      <c r="C37" s="44"/>
      <c r="D37" s="1"/>
    </row>
    <row r="38" spans="1:4" x14ac:dyDescent="0.35">
      <c r="A38" s="1"/>
      <c r="B38" s="1"/>
      <c r="C38" s="44"/>
      <c r="D38" s="1"/>
    </row>
    <row r="39" spans="1:4" x14ac:dyDescent="0.35">
      <c r="A39" s="1"/>
      <c r="B39" s="1"/>
      <c r="C39" s="44"/>
      <c r="D39" s="1"/>
    </row>
    <row r="40" spans="1:4" x14ac:dyDescent="0.35">
      <c r="A40" s="1"/>
      <c r="B40" s="1"/>
      <c r="C40" s="44"/>
      <c r="D40" s="1"/>
    </row>
    <row r="41" spans="1:4" x14ac:dyDescent="0.35">
      <c r="A41" s="1"/>
      <c r="B41" s="1"/>
      <c r="C41" s="44"/>
      <c r="D41" s="1"/>
    </row>
    <row r="42" spans="1:4" x14ac:dyDescent="0.35">
      <c r="A42" s="1"/>
      <c r="B42" s="1"/>
      <c r="C42" s="44"/>
      <c r="D42" s="1"/>
    </row>
    <row r="43" spans="1:4" x14ac:dyDescent="0.35">
      <c r="A43" s="1"/>
      <c r="B43" s="1"/>
      <c r="C43" s="44"/>
      <c r="D43" s="1"/>
    </row>
    <row r="44" spans="1:4" x14ac:dyDescent="0.35">
      <c r="A44" s="1"/>
      <c r="B44" s="1"/>
      <c r="C44" s="44"/>
      <c r="D44" s="1"/>
    </row>
    <row r="45" spans="1:4" x14ac:dyDescent="0.35">
      <c r="A45" s="1"/>
      <c r="B45" s="1"/>
      <c r="C45" s="44"/>
      <c r="D45" s="1"/>
    </row>
    <row r="46" spans="1:4" x14ac:dyDescent="0.35">
      <c r="A46" s="1"/>
      <c r="B46" s="1"/>
      <c r="C46" s="44"/>
      <c r="D46" s="1"/>
    </row>
    <row r="47" spans="1:4" x14ac:dyDescent="0.35">
      <c r="A47" s="1"/>
      <c r="B47" s="1"/>
      <c r="C47" s="44"/>
      <c r="D47" s="1"/>
    </row>
    <row r="48" spans="1:4" x14ac:dyDescent="0.35">
      <c r="A48" s="1"/>
      <c r="B48" s="1"/>
      <c r="C48" s="44"/>
      <c r="D48" s="1"/>
    </row>
    <row r="49" spans="1:4" x14ac:dyDescent="0.35">
      <c r="A49" s="1"/>
      <c r="B49" s="1"/>
      <c r="C49" s="44"/>
      <c r="D49" s="1"/>
    </row>
  </sheetData>
  <sheetProtection algorithmName="SHA-512" hashValue="482/eeTntLDUuKoxn4lTtlFpPmXdcynbcvzhAzH38oioYlCQNahOIg/yEAIYVmrQd9YCnjWRJOKQCyJlGXiHig==" saltValue="mYJa7yD+45UinYig8/Mt2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topLeftCell="A17" zoomScaleNormal="100" workbookViewId="0">
      <selection activeCell="C17" sqref="C17"/>
    </sheetView>
  </sheetViews>
  <sheetFormatPr defaultColWidth="9" defaultRowHeight="14.5" x14ac:dyDescent="0.35"/>
  <cols>
    <col min="1" max="1" width="6.54296875" style="2" customWidth="1"/>
    <col min="2" max="2" width="56.7265625" style="2" customWidth="1"/>
    <col min="3" max="3" width="12.7265625" style="2" bestFit="1" customWidth="1"/>
    <col min="4" max="4" width="3" style="2" customWidth="1"/>
    <col min="5" max="5" width="6.26953125" style="2" customWidth="1"/>
    <col min="6" max="16384" width="9" style="2"/>
  </cols>
  <sheetData>
    <row r="1" spans="1:5" x14ac:dyDescent="0.35">
      <c r="A1" s="1"/>
      <c r="B1" s="1"/>
      <c r="C1" s="1"/>
      <c r="D1" s="1"/>
      <c r="E1" s="1"/>
    </row>
    <row r="2" spans="1:5" x14ac:dyDescent="0.35">
      <c r="A2" s="1"/>
      <c r="B2" s="1"/>
      <c r="C2" s="1"/>
      <c r="D2" s="1"/>
      <c r="E2" s="1"/>
    </row>
    <row r="3" spans="1:5" ht="15" customHeight="1" x14ac:dyDescent="0.35">
      <c r="A3" s="1"/>
      <c r="B3" s="101" t="s">
        <v>165</v>
      </c>
      <c r="C3" s="101"/>
      <c r="D3" s="101"/>
      <c r="E3" s="1"/>
    </row>
    <row r="4" spans="1:5" ht="15" customHeight="1" x14ac:dyDescent="0.35">
      <c r="A4" s="1"/>
      <c r="B4" s="101"/>
      <c r="C4" s="101"/>
      <c r="D4" s="101"/>
      <c r="E4" s="1"/>
    </row>
    <row r="5" spans="1:5" x14ac:dyDescent="0.35">
      <c r="A5" s="1"/>
      <c r="B5" s="1"/>
      <c r="C5" s="1"/>
      <c r="D5" s="1"/>
      <c r="E5" s="1"/>
    </row>
    <row r="6" spans="1:5" x14ac:dyDescent="0.35">
      <c r="A6" s="1"/>
      <c r="B6" s="1"/>
      <c r="C6" s="1"/>
      <c r="D6" s="1"/>
      <c r="E6" s="1"/>
    </row>
    <row r="7" spans="1:5" x14ac:dyDescent="0.35">
      <c r="A7" s="1"/>
      <c r="B7" s="66" t="s">
        <v>12</v>
      </c>
      <c r="C7" s="67"/>
      <c r="D7" s="19"/>
      <c r="E7" s="1"/>
    </row>
    <row r="8" spans="1:5" x14ac:dyDescent="0.35">
      <c r="A8" s="1"/>
      <c r="B8" s="74" t="s">
        <v>116</v>
      </c>
      <c r="C8" s="7">
        <f>'Fane 3. Omkostninger i ØR2022'!E20</f>
        <v>45498935.839262664</v>
      </c>
      <c r="D8" s="8" t="s">
        <v>3</v>
      </c>
      <c r="E8" s="1"/>
    </row>
    <row r="9" spans="1:5" ht="17.25" customHeight="1" x14ac:dyDescent="0.35">
      <c r="A9" s="1"/>
      <c r="B9" s="23" t="s">
        <v>35</v>
      </c>
      <c r="C9" s="7">
        <f>'Fane 10.1. Varige tillæg'!C15</f>
        <v>1093318.4755999998</v>
      </c>
      <c r="D9" s="8" t="s">
        <v>3</v>
      </c>
      <c r="E9" s="1"/>
    </row>
    <row r="10" spans="1:5" ht="17.25" customHeight="1" x14ac:dyDescent="0.35">
      <c r="A10" s="1"/>
      <c r="B10" s="23" t="s">
        <v>36</v>
      </c>
      <c r="C10" s="9">
        <f>'Fane 10.1. Varige tillæg'!E15</f>
        <v>646797.26849547867</v>
      </c>
      <c r="D10" s="8" t="s">
        <v>3</v>
      </c>
      <c r="E10" s="1"/>
    </row>
    <row r="11" spans="1:5" ht="17.25" customHeight="1" x14ac:dyDescent="0.35">
      <c r="A11" s="1"/>
      <c r="B11" s="23" t="s">
        <v>26</v>
      </c>
      <c r="C11" s="9">
        <f>-'Fane 12. Bortfald'!C14</f>
        <v>0</v>
      </c>
      <c r="D11" s="8" t="s">
        <v>3</v>
      </c>
      <c r="E11" s="1"/>
    </row>
    <row r="12" spans="1:5" ht="17.25" customHeight="1" x14ac:dyDescent="0.35">
      <c r="A12" s="1"/>
      <c r="B12" s="23" t="s">
        <v>25</v>
      </c>
      <c r="C12" s="9">
        <f>-'Fane 12. Bortfald'!E14</f>
        <v>0</v>
      </c>
      <c r="D12" s="8" t="s">
        <v>3</v>
      </c>
      <c r="E12" s="1"/>
    </row>
    <row r="13" spans="1:5" ht="17.25" customHeight="1" x14ac:dyDescent="0.35">
      <c r="A13" s="1"/>
      <c r="B13" s="23" t="s">
        <v>114</v>
      </c>
      <c r="C13" s="9">
        <f>'Fane 11. Tilknyttet virksomhed'!C12</f>
        <v>0</v>
      </c>
      <c r="D13" s="8" t="s">
        <v>3</v>
      </c>
      <c r="E13" s="1"/>
    </row>
    <row r="14" spans="1:5" ht="17.25" customHeight="1" x14ac:dyDescent="0.35">
      <c r="A14" s="1"/>
      <c r="B14" s="23" t="s">
        <v>115</v>
      </c>
      <c r="C14" s="9">
        <f>'Fane 11. Tilknyttet virksomhed'!E12</f>
        <v>0</v>
      </c>
      <c r="D14" s="8" t="s">
        <v>3</v>
      </c>
      <c r="E14" s="1"/>
    </row>
    <row r="15" spans="1:5" ht="17.25" customHeight="1" x14ac:dyDescent="0.35">
      <c r="A15" s="1"/>
      <c r="B15" s="23" t="s">
        <v>17</v>
      </c>
      <c r="C15" s="9">
        <f>SUM(C8:C14)*'Fane 13. Nøgletal'!C15</f>
        <v>1681710.2363675497</v>
      </c>
      <c r="D15" s="8" t="s">
        <v>3</v>
      </c>
      <c r="E15" s="1"/>
    </row>
    <row r="16" spans="1:5" ht="17.25" customHeight="1" x14ac:dyDescent="0.35">
      <c r="A16" s="1"/>
      <c r="B16" s="23" t="s">
        <v>9</v>
      </c>
      <c r="C16" s="9">
        <f>-SUM(C8,C9:C15)*'Fane 5. Individuelt eff. krav'!G9</f>
        <v>-978415.23639451386</v>
      </c>
      <c r="D16" s="8" t="s">
        <v>3</v>
      </c>
      <c r="E16" s="1"/>
    </row>
    <row r="17" spans="1:5" ht="17.25" customHeight="1" x14ac:dyDescent="0.35">
      <c r="A17" s="1"/>
      <c r="B17" s="23" t="s">
        <v>23</v>
      </c>
      <c r="C17" s="9">
        <f>-'Fane 4.1. Gen. krav - drift'!G43</f>
        <v>-480335.26109389536</v>
      </c>
      <c r="D17" s="8" t="s">
        <v>3</v>
      </c>
      <c r="E17" s="1"/>
    </row>
    <row r="18" spans="1:5" ht="17.25" customHeight="1" x14ac:dyDescent="0.35">
      <c r="A18" s="1"/>
      <c r="B18" s="23" t="s">
        <v>24</v>
      </c>
      <c r="C18" s="9">
        <f>-'Fane 4.2. Gen. krav - anlæg'!G43</f>
        <v>0</v>
      </c>
      <c r="D18" s="8" t="s">
        <v>3</v>
      </c>
      <c r="E18" s="1"/>
    </row>
    <row r="19" spans="1:5" ht="17.25" customHeight="1" x14ac:dyDescent="0.35">
      <c r="A19" s="1"/>
      <c r="B19" s="50" t="s">
        <v>19</v>
      </c>
      <c r="C19" s="10">
        <f>SUM(C8,C9:C18)</f>
        <v>47462011.322237283</v>
      </c>
      <c r="D19" s="11" t="s">
        <v>3</v>
      </c>
      <c r="E19" s="1"/>
    </row>
    <row r="20" spans="1:5" ht="15" customHeight="1" x14ac:dyDescent="0.35">
      <c r="A20" s="1"/>
      <c r="B20" s="66" t="s">
        <v>11</v>
      </c>
      <c r="C20" s="67"/>
      <c r="D20" s="19"/>
      <c r="E20" s="1"/>
    </row>
    <row r="21" spans="1:5" ht="15" customHeight="1" x14ac:dyDescent="0.35">
      <c r="A21" s="1"/>
      <c r="B21" s="68" t="s">
        <v>11</v>
      </c>
      <c r="C21" s="10">
        <f>'Fane 6. Ikke-påvirkelige omk.'!C16</f>
        <v>24915451.243381921</v>
      </c>
      <c r="D21" s="11" t="s">
        <v>3</v>
      </c>
      <c r="E21" s="1"/>
    </row>
    <row r="22" spans="1:5" ht="15" customHeight="1" x14ac:dyDescent="0.35">
      <c r="A22" s="1"/>
      <c r="B22" s="66" t="s">
        <v>80</v>
      </c>
      <c r="C22" s="67"/>
      <c r="D22" s="19"/>
      <c r="E22" s="1"/>
    </row>
    <row r="23" spans="1:5" ht="15" customHeight="1" x14ac:dyDescent="0.35">
      <c r="A23" s="1"/>
      <c r="B23" s="23" t="s">
        <v>76</v>
      </c>
      <c r="C23" s="9">
        <f>'Fane 10.2. Engangstillæg'!C13</f>
        <v>54052.354944000006</v>
      </c>
      <c r="D23" s="8" t="s">
        <v>3</v>
      </c>
      <c r="E23" s="1"/>
    </row>
    <row r="24" spans="1:5" ht="15" customHeight="1" x14ac:dyDescent="0.35">
      <c r="A24" s="1"/>
      <c r="B24" s="23" t="s">
        <v>77</v>
      </c>
      <c r="C24" s="9">
        <f>'Fane 10.2. Engangstillæg'!E13</f>
        <v>0</v>
      </c>
      <c r="D24" s="8" t="s">
        <v>3</v>
      </c>
      <c r="E24" s="1"/>
    </row>
    <row r="25" spans="1:5" ht="15" customHeight="1" x14ac:dyDescent="0.35">
      <c r="A25" s="1"/>
      <c r="B25" s="23" t="s">
        <v>206</v>
      </c>
      <c r="C25" s="9">
        <f>-C23*('Fane 13. Nøgletal'!C31+'Fane 5. Individuelt eff. krav'!G9)</f>
        <v>-2162.0941977600005</v>
      </c>
      <c r="D25" s="8" t="s">
        <v>3</v>
      </c>
      <c r="E25" s="1"/>
    </row>
    <row r="26" spans="1:5" ht="15" customHeight="1" x14ac:dyDescent="0.35">
      <c r="A26" s="1"/>
      <c r="B26" s="23" t="s">
        <v>207</v>
      </c>
      <c r="C26" s="9">
        <f>-C24*('Fane 13. Nøgletal'!C26+'Fane 5. Individuelt eff. krav'!G9)</f>
        <v>0</v>
      </c>
      <c r="D26" s="8" t="s">
        <v>3</v>
      </c>
      <c r="E26" s="1"/>
    </row>
    <row r="27" spans="1:5" x14ac:dyDescent="0.35">
      <c r="A27" s="1"/>
      <c r="B27" s="50" t="s">
        <v>81</v>
      </c>
      <c r="C27" s="81">
        <f>SUM(C23:C26)</f>
        <v>51890.260746240005</v>
      </c>
      <c r="D27" s="11" t="s">
        <v>3</v>
      </c>
      <c r="E27" s="1"/>
    </row>
    <row r="28" spans="1:5" ht="15" customHeight="1" x14ac:dyDescent="0.35">
      <c r="A28" s="1"/>
      <c r="B28" s="25" t="s">
        <v>128</v>
      </c>
      <c r="C28" s="67"/>
      <c r="D28" s="19"/>
      <c r="E28" s="1"/>
    </row>
    <row r="29" spans="1:5" x14ac:dyDescent="0.35">
      <c r="A29" s="1"/>
      <c r="B29" s="79" t="s">
        <v>129</v>
      </c>
      <c r="C29" s="10">
        <f>'Fane 7. Kontrol af ØR2021'!E31</f>
        <v>-1972610.4104830553</v>
      </c>
      <c r="D29" s="11" t="s">
        <v>3</v>
      </c>
      <c r="E29" s="1"/>
    </row>
    <row r="30" spans="1:5" x14ac:dyDescent="0.35">
      <c r="A30" s="1"/>
      <c r="B30" s="25" t="s">
        <v>153</v>
      </c>
      <c r="C30" s="67"/>
      <c r="D30" s="19"/>
      <c r="E30" s="1"/>
    </row>
    <row r="31" spans="1:5" x14ac:dyDescent="0.35">
      <c r="A31" s="1"/>
      <c r="B31" s="79" t="s">
        <v>154</v>
      </c>
      <c r="C31" s="10">
        <f>'Fane 8. Skattesagen'!G12</f>
        <v>0</v>
      </c>
      <c r="D31" s="11" t="s">
        <v>3</v>
      </c>
      <c r="E31" s="1"/>
    </row>
    <row r="32" spans="1:5" x14ac:dyDescent="0.35">
      <c r="A32" s="1"/>
      <c r="B32" s="66" t="s">
        <v>84</v>
      </c>
      <c r="C32" s="36">
        <f>SUM(C19,C21,C27,C29,C31)</f>
        <v>70456742.415882379</v>
      </c>
      <c r="D32" s="19" t="s">
        <v>3</v>
      </c>
      <c r="E32" s="1"/>
    </row>
    <row r="33" spans="1:5" x14ac:dyDescent="0.35">
      <c r="A33" s="1"/>
      <c r="B33" s="1" t="s">
        <v>210</v>
      </c>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sheetData>
  <sheetProtection algorithmName="SHA-512" hashValue="OzM2DAUmPt+GE1268fYyQMDrDVJhlHdymodSFKS/u+1+vTWyrk6S0riMc8nthc7sSDUmQkR9IVklgcqaXFE2Qg==" saltValue="pWyAuN2A6HUP6vtqlKttW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topLeftCell="A4" zoomScaleNormal="100" workbookViewId="0">
      <selection activeCell="C8" sqref="C8:C20"/>
    </sheetView>
  </sheetViews>
  <sheetFormatPr defaultColWidth="9" defaultRowHeight="14.5" x14ac:dyDescent="0.35"/>
  <cols>
    <col min="1" max="1" width="5" style="2" customWidth="1"/>
    <col min="2" max="2" width="62.26953125" style="2" customWidth="1"/>
    <col min="3" max="3" width="10.26953125" style="2" customWidth="1"/>
    <col min="4" max="4" width="3.26953125" style="2" customWidth="1"/>
    <col min="5" max="5" width="5" style="2" customWidth="1"/>
    <col min="6" max="16384" width="9" style="2"/>
  </cols>
  <sheetData>
    <row r="1" spans="1:5" x14ac:dyDescent="0.35">
      <c r="A1" s="1"/>
      <c r="B1" s="1"/>
      <c r="C1" s="1"/>
      <c r="D1" s="1"/>
      <c r="E1" s="1"/>
    </row>
    <row r="2" spans="1:5" x14ac:dyDescent="0.35">
      <c r="A2" s="1"/>
      <c r="B2" s="1"/>
      <c r="C2" s="1"/>
      <c r="D2" s="1"/>
      <c r="E2" s="1"/>
    </row>
    <row r="3" spans="1:5" ht="15" customHeight="1" x14ac:dyDescent="0.35">
      <c r="A3" s="1"/>
      <c r="B3" s="101" t="s">
        <v>166</v>
      </c>
      <c r="C3" s="101"/>
      <c r="D3" s="101"/>
      <c r="E3" s="1"/>
    </row>
    <row r="4" spans="1:5" ht="15" customHeight="1" x14ac:dyDescent="0.35">
      <c r="A4" s="1"/>
      <c r="B4" s="101"/>
      <c r="C4" s="101"/>
      <c r="D4" s="101"/>
      <c r="E4" s="1"/>
    </row>
    <row r="5" spans="1:5" x14ac:dyDescent="0.35">
      <c r="A5" s="1"/>
      <c r="B5" s="102"/>
      <c r="C5" s="102"/>
      <c r="D5" s="102"/>
      <c r="E5" s="1"/>
    </row>
    <row r="6" spans="1:5" x14ac:dyDescent="0.35">
      <c r="A6" s="1"/>
      <c r="B6" s="1"/>
      <c r="C6" s="1"/>
      <c r="D6" s="1"/>
      <c r="E6" s="1"/>
    </row>
    <row r="7" spans="1:5" x14ac:dyDescent="0.35">
      <c r="A7" s="1"/>
      <c r="B7" s="66" t="s">
        <v>12</v>
      </c>
      <c r="C7" s="67"/>
      <c r="D7" s="19"/>
      <c r="E7" s="1"/>
    </row>
    <row r="8" spans="1:5" ht="15" customHeight="1" x14ac:dyDescent="0.35">
      <c r="A8" s="1"/>
      <c r="B8" s="74" t="s">
        <v>117</v>
      </c>
      <c r="C8" s="7">
        <f>'Fane 2.1. Økonomisk ramme 2023'!C19</f>
        <v>47462011.322237283</v>
      </c>
      <c r="D8" s="8" t="s">
        <v>3</v>
      </c>
      <c r="E8" s="1"/>
    </row>
    <row r="9" spans="1:5" ht="15" customHeight="1" x14ac:dyDescent="0.35">
      <c r="A9" s="1"/>
      <c r="B9" s="63" t="s">
        <v>17</v>
      </c>
      <c r="C9" s="9">
        <f>SUM(C8:C8)*'Fane 13. Nøgletal'!C15</f>
        <v>1689647.6030716472</v>
      </c>
      <c r="D9" s="8" t="s">
        <v>3</v>
      </c>
      <c r="E9" s="1"/>
    </row>
    <row r="10" spans="1:5" ht="15" customHeight="1" x14ac:dyDescent="0.35">
      <c r="A10" s="1"/>
      <c r="B10" s="63" t="s">
        <v>9</v>
      </c>
      <c r="C10" s="9">
        <f>-SUM(C8:C9)*'Fane 5. Individuelt eff. krav'!G9</f>
        <v>-983033.17850617855</v>
      </c>
      <c r="D10" s="8" t="s">
        <v>3</v>
      </c>
      <c r="E10" s="1"/>
    </row>
    <row r="11" spans="1:5" ht="15" customHeight="1" x14ac:dyDescent="0.35">
      <c r="A11" s="1"/>
      <c r="B11" s="63" t="s">
        <v>23</v>
      </c>
      <c r="C11" s="9">
        <f>-'Fane 4.1. Gen. krav - drift'!G48</f>
        <v>-487486.49246106134</v>
      </c>
      <c r="D11" s="8" t="s">
        <v>3</v>
      </c>
      <c r="E11" s="1"/>
    </row>
    <row r="12" spans="1:5" ht="15" customHeight="1" x14ac:dyDescent="0.35">
      <c r="A12" s="1"/>
      <c r="B12" s="63" t="s">
        <v>24</v>
      </c>
      <c r="C12" s="9">
        <f>-'Fane 4.2. Gen. krav - anlæg'!G48</f>
        <v>0</v>
      </c>
      <c r="D12" s="8" t="s">
        <v>3</v>
      </c>
      <c r="E12" s="1"/>
    </row>
    <row r="13" spans="1:5" ht="15" customHeight="1" x14ac:dyDescent="0.35">
      <c r="A13" s="1"/>
      <c r="B13" s="33" t="s">
        <v>19</v>
      </c>
      <c r="C13" s="10">
        <f>SUM(C8:C12)</f>
        <v>47681139.254341684</v>
      </c>
      <c r="D13" s="11" t="s">
        <v>3</v>
      </c>
      <c r="E13" s="1"/>
    </row>
    <row r="14" spans="1:5" x14ac:dyDescent="0.35">
      <c r="A14" s="1"/>
      <c r="B14" s="66" t="s">
        <v>11</v>
      </c>
      <c r="C14" s="67"/>
      <c r="D14" s="19"/>
      <c r="E14" s="1"/>
    </row>
    <row r="15" spans="1:5" ht="15" customHeight="1" x14ac:dyDescent="0.35">
      <c r="A15" s="1"/>
      <c r="B15" s="68" t="s">
        <v>11</v>
      </c>
      <c r="C15" s="10">
        <f>'Fane 6. Ikke-påvirkelige omk.'!C16*(1+'Fane 13. Nøgletal'!C15)</f>
        <v>25802441.307646319</v>
      </c>
      <c r="D15" s="11" t="s">
        <v>3</v>
      </c>
      <c r="E15" s="1"/>
    </row>
    <row r="16" spans="1:5" x14ac:dyDescent="0.35">
      <c r="A16" s="1"/>
      <c r="B16" s="25" t="s">
        <v>128</v>
      </c>
      <c r="C16" s="67"/>
      <c r="D16" s="19"/>
      <c r="E16" s="1"/>
    </row>
    <row r="17" spans="1:5" ht="15" customHeight="1" x14ac:dyDescent="0.35">
      <c r="A17" s="1"/>
      <c r="B17" s="79" t="s">
        <v>129</v>
      </c>
      <c r="C17" s="10">
        <f>'Fane 7. Kontrol af ØR2021'!E31</f>
        <v>-1972610.4104830553</v>
      </c>
      <c r="D17" s="11" t="s">
        <v>3</v>
      </c>
      <c r="E17" s="1"/>
    </row>
    <row r="18" spans="1:5" x14ac:dyDescent="0.35">
      <c r="A18" s="1"/>
      <c r="B18" s="25" t="s">
        <v>153</v>
      </c>
      <c r="C18" s="67"/>
      <c r="D18" s="19"/>
      <c r="E18" s="1"/>
    </row>
    <row r="19" spans="1:5" x14ac:dyDescent="0.35">
      <c r="A19" s="1"/>
      <c r="B19" s="79" t="s">
        <v>154</v>
      </c>
      <c r="C19" s="10">
        <f>'Fane 8. Skattesagen'!G13</f>
        <v>0</v>
      </c>
      <c r="D19" s="11" t="s">
        <v>3</v>
      </c>
      <c r="E19" s="1"/>
    </row>
    <row r="20" spans="1:5" x14ac:dyDescent="0.35">
      <c r="A20" s="1"/>
      <c r="B20" s="66" t="s">
        <v>138</v>
      </c>
      <c r="C20" s="12">
        <f>SUM(C13,C15,C17,C19)</f>
        <v>71510970.151504934</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pZT1xmPhJjXi7mA1aD6VWpCNSXqDZ5dm4hM4nJlLQSVUdCAHbVnDpkSsSHv7pwIzuhEmsykEoGn0P9JUFPZYiw==" saltValue="LK6kypNFNtitv9hIWfXMx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topLeftCell="A9" zoomScaleNormal="100" workbookViewId="0">
      <selection activeCell="C8" sqref="C8:C20"/>
    </sheetView>
  </sheetViews>
  <sheetFormatPr defaultColWidth="9" defaultRowHeight="14.5" x14ac:dyDescent="0.35"/>
  <cols>
    <col min="1" max="1" width="5" style="2" customWidth="1"/>
    <col min="2" max="2" width="63.26953125" style="2" customWidth="1"/>
    <col min="3" max="3" width="10.26953125" style="2" customWidth="1"/>
    <col min="4" max="4" width="3.26953125" style="2" customWidth="1"/>
    <col min="5" max="5" width="5" style="2" customWidth="1"/>
    <col min="6" max="16384" width="9" style="2"/>
  </cols>
  <sheetData>
    <row r="1" spans="1:5" x14ac:dyDescent="0.35">
      <c r="A1" s="1"/>
      <c r="B1" s="1"/>
      <c r="C1" s="1"/>
      <c r="D1" s="1"/>
      <c r="E1" s="1"/>
    </row>
    <row r="2" spans="1:5" x14ac:dyDescent="0.35">
      <c r="A2" s="1"/>
      <c r="B2" s="1"/>
      <c r="C2" s="1"/>
      <c r="D2" s="1"/>
      <c r="E2" s="1"/>
    </row>
    <row r="3" spans="1:5" ht="15" customHeight="1" x14ac:dyDescent="0.35">
      <c r="A3" s="1"/>
      <c r="B3" s="101" t="s">
        <v>167</v>
      </c>
      <c r="C3" s="101"/>
      <c r="D3" s="101"/>
      <c r="E3" s="1"/>
    </row>
    <row r="4" spans="1:5" ht="15" customHeight="1" x14ac:dyDescent="0.35">
      <c r="A4" s="1"/>
      <c r="B4" s="101"/>
      <c r="C4" s="101"/>
      <c r="D4" s="101"/>
      <c r="E4" s="1"/>
    </row>
    <row r="5" spans="1:5" x14ac:dyDescent="0.35">
      <c r="A5" s="1"/>
      <c r="B5" s="102" t="s">
        <v>20</v>
      </c>
      <c r="C5" s="102"/>
      <c r="D5" s="102"/>
      <c r="E5" s="1"/>
    </row>
    <row r="6" spans="1:5" x14ac:dyDescent="0.35">
      <c r="A6" s="1"/>
      <c r="B6" s="1"/>
      <c r="C6" s="1"/>
      <c r="D6" s="1"/>
      <c r="E6" s="1"/>
    </row>
    <row r="7" spans="1:5" x14ac:dyDescent="0.35">
      <c r="A7" s="1"/>
      <c r="B7" s="66" t="s">
        <v>12</v>
      </c>
      <c r="C7" s="67"/>
      <c r="D7" s="19"/>
      <c r="E7" s="1"/>
    </row>
    <row r="8" spans="1:5" ht="15" customHeight="1" x14ac:dyDescent="0.35">
      <c r="A8" s="1"/>
      <c r="B8" s="74" t="s">
        <v>139</v>
      </c>
      <c r="C8" s="7">
        <f>'Fane 2.2. Økonomisk ramme 2024'!C13</f>
        <v>47681139.254341684</v>
      </c>
      <c r="D8" s="8" t="s">
        <v>3</v>
      </c>
      <c r="E8" s="1"/>
    </row>
    <row r="9" spans="1:5" ht="15" customHeight="1" x14ac:dyDescent="0.35">
      <c r="A9" s="1"/>
      <c r="B9" s="63" t="s">
        <v>17</v>
      </c>
      <c r="C9" s="9">
        <f>SUM(C8:C8)*'Fane 13. Nøgletal'!C15</f>
        <v>1697448.5574545639</v>
      </c>
      <c r="D9" s="8" t="s">
        <v>3</v>
      </c>
      <c r="E9" s="1"/>
    </row>
    <row r="10" spans="1:5" ht="15" customHeight="1" x14ac:dyDescent="0.35">
      <c r="A10" s="1"/>
      <c r="B10" s="63" t="s">
        <v>9</v>
      </c>
      <c r="C10" s="9">
        <f>-SUM(C8:C9)*'Fane 5. Individuelt eff. krav'!G9</f>
        <v>-987571.75623592502</v>
      </c>
      <c r="D10" s="8" t="s">
        <v>3</v>
      </c>
      <c r="E10" s="1"/>
    </row>
    <row r="11" spans="1:5" ht="15" customHeight="1" x14ac:dyDescent="0.35">
      <c r="A11" s="1"/>
      <c r="B11" s="63" t="s">
        <v>23</v>
      </c>
      <c r="C11" s="9">
        <f>-'Fane 4.1. Gen. krav - drift'!G53</f>
        <v>-494744.1913608216</v>
      </c>
      <c r="D11" s="8" t="s">
        <v>3</v>
      </c>
      <c r="E11" s="1"/>
    </row>
    <row r="12" spans="1:5" ht="15" customHeight="1" x14ac:dyDescent="0.35">
      <c r="A12" s="1"/>
      <c r="B12" s="63" t="s">
        <v>24</v>
      </c>
      <c r="C12" s="27">
        <f>-'Fane 4.2. Gen. krav - anlæg'!G53</f>
        <v>0</v>
      </c>
      <c r="D12" s="8" t="s">
        <v>3</v>
      </c>
      <c r="E12" s="1"/>
    </row>
    <row r="13" spans="1:5" x14ac:dyDescent="0.35">
      <c r="A13" s="1"/>
      <c r="B13" s="33" t="s">
        <v>19</v>
      </c>
      <c r="C13" s="10">
        <f>SUM(C8:C12)</f>
        <v>47896271.864199497</v>
      </c>
      <c r="D13" s="11" t="s">
        <v>3</v>
      </c>
      <c r="E13" s="1"/>
    </row>
    <row r="14" spans="1:5" x14ac:dyDescent="0.35">
      <c r="A14" s="1"/>
      <c r="B14" s="66" t="s">
        <v>11</v>
      </c>
      <c r="C14" s="67"/>
      <c r="D14" s="19"/>
      <c r="E14" s="1"/>
    </row>
    <row r="15" spans="1:5" ht="15" customHeight="1" x14ac:dyDescent="0.35">
      <c r="A15" s="1"/>
      <c r="B15" s="68" t="s">
        <v>11</v>
      </c>
      <c r="C15" s="10">
        <f>'Fane 6. Ikke-påvirkelige omk.'!C16*(1+'Fane 13. Nøgletal'!C15)^2</f>
        <v>26721008.21819853</v>
      </c>
      <c r="D15" s="11" t="s">
        <v>3</v>
      </c>
      <c r="E15" s="1"/>
    </row>
    <row r="16" spans="1:5" x14ac:dyDescent="0.35">
      <c r="A16" s="1"/>
      <c r="B16" s="66" t="s">
        <v>128</v>
      </c>
      <c r="C16" s="67"/>
      <c r="D16" s="19"/>
      <c r="E16" s="1"/>
    </row>
    <row r="17" spans="1:5" x14ac:dyDescent="0.35">
      <c r="A17" s="1"/>
      <c r="B17" s="68" t="s">
        <v>129</v>
      </c>
      <c r="C17" s="10">
        <v>0</v>
      </c>
      <c r="D17" s="11" t="s">
        <v>3</v>
      </c>
      <c r="E17" s="1"/>
    </row>
    <row r="18" spans="1:5" ht="15" customHeight="1" x14ac:dyDescent="0.35">
      <c r="A18" s="1"/>
      <c r="B18" s="25" t="s">
        <v>153</v>
      </c>
      <c r="C18" s="67"/>
      <c r="D18" s="19"/>
      <c r="E18" s="1"/>
    </row>
    <row r="19" spans="1:5" ht="15" customHeight="1" x14ac:dyDescent="0.35">
      <c r="A19" s="1"/>
      <c r="B19" s="79" t="s">
        <v>154</v>
      </c>
      <c r="C19" s="10">
        <f>'Fane 8. Skattesagen'!G14</f>
        <v>0</v>
      </c>
      <c r="D19" s="11" t="s">
        <v>3</v>
      </c>
      <c r="E19" s="1"/>
    </row>
    <row r="20" spans="1:5" x14ac:dyDescent="0.35">
      <c r="A20" s="1"/>
      <c r="B20" s="66" t="s">
        <v>140</v>
      </c>
      <c r="C20" s="12">
        <f>SUM(C13,C15,C17,C19)</f>
        <v>74617280.082398027</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40lH403QhKHf4RcWiezdv6gCdPCJlgXHmLsRPjpTTRrzxEVj6+EsWY2pMbbbJ/5c7C67SHbRHVFA/XSFA8HdUw==" saltValue="yxyKpYD7uLNDh9o8i6ziz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topLeftCell="A10" zoomScaleNormal="100" workbookViewId="0">
      <selection activeCell="F11" sqref="F11"/>
    </sheetView>
  </sheetViews>
  <sheetFormatPr defaultColWidth="9" defaultRowHeight="14.5" x14ac:dyDescent="0.35"/>
  <cols>
    <col min="1" max="1" width="5" style="2" customWidth="1"/>
    <col min="2" max="2" width="63" style="2" customWidth="1"/>
    <col min="3" max="3" width="10.26953125" style="2" customWidth="1"/>
    <col min="4" max="4" width="3.26953125" style="2" customWidth="1"/>
    <col min="5" max="5" width="5" style="2" customWidth="1"/>
    <col min="6" max="16384" width="9" style="2"/>
  </cols>
  <sheetData>
    <row r="1" spans="1:5" x14ac:dyDescent="0.35">
      <c r="A1" s="1"/>
      <c r="B1" s="1"/>
      <c r="C1" s="1"/>
      <c r="D1" s="1"/>
      <c r="E1" s="1"/>
    </row>
    <row r="2" spans="1:5" x14ac:dyDescent="0.35">
      <c r="A2" s="1"/>
      <c r="B2" s="1"/>
      <c r="C2" s="1"/>
      <c r="D2" s="1"/>
      <c r="E2" s="1"/>
    </row>
    <row r="3" spans="1:5" ht="15" customHeight="1" x14ac:dyDescent="0.35">
      <c r="A3" s="1"/>
      <c r="B3" s="101" t="s">
        <v>168</v>
      </c>
      <c r="C3" s="101"/>
      <c r="D3" s="101"/>
      <c r="E3" s="1"/>
    </row>
    <row r="4" spans="1:5" ht="15" customHeight="1" x14ac:dyDescent="0.35">
      <c r="A4" s="1"/>
      <c r="B4" s="101"/>
      <c r="C4" s="101"/>
      <c r="D4" s="101"/>
      <c r="E4" s="1"/>
    </row>
    <row r="5" spans="1:5" x14ac:dyDescent="0.35">
      <c r="A5" s="1"/>
      <c r="B5" s="102" t="s">
        <v>20</v>
      </c>
      <c r="C5" s="102"/>
      <c r="D5" s="102"/>
      <c r="E5" s="1"/>
    </row>
    <row r="6" spans="1:5" x14ac:dyDescent="0.35">
      <c r="A6" s="1"/>
      <c r="B6" s="1"/>
      <c r="C6" s="1"/>
      <c r="D6" s="1"/>
      <c r="E6" s="1"/>
    </row>
    <row r="7" spans="1:5" x14ac:dyDescent="0.35">
      <c r="A7" s="1"/>
      <c r="B7" s="66" t="s">
        <v>12</v>
      </c>
      <c r="C7" s="67"/>
      <c r="D7" s="19"/>
      <c r="E7" s="1"/>
    </row>
    <row r="8" spans="1:5" ht="15" customHeight="1" x14ac:dyDescent="0.35">
      <c r="A8" s="1"/>
      <c r="B8" s="74" t="s">
        <v>169</v>
      </c>
      <c r="C8" s="7">
        <f>'Fane 2.3. Økonomisk ramme 2025'!C13</f>
        <v>47896271.864199497</v>
      </c>
      <c r="D8" s="8" t="s">
        <v>3</v>
      </c>
      <c r="E8" s="1"/>
    </row>
    <row r="9" spans="1:5" ht="15" customHeight="1" x14ac:dyDescent="0.35">
      <c r="A9" s="1"/>
      <c r="B9" s="63" t="s">
        <v>17</v>
      </c>
      <c r="C9" s="9">
        <f>SUM(C8:C8)*'Fane 13. Nøgletal'!C15</f>
        <v>1705107.2783655021</v>
      </c>
      <c r="D9" s="8" t="s">
        <v>3</v>
      </c>
      <c r="E9" s="1"/>
    </row>
    <row r="10" spans="1:5" ht="15" customHeight="1" x14ac:dyDescent="0.35">
      <c r="A10" s="1"/>
      <c r="B10" s="63" t="s">
        <v>9</v>
      </c>
      <c r="C10" s="9">
        <f>-SUM(C8:C9)*'Fane 5. Individuelt eff. krav'!G9</f>
        <v>-992027.58285130002</v>
      </c>
      <c r="D10" s="8" t="s">
        <v>3</v>
      </c>
      <c r="E10" s="1"/>
    </row>
    <row r="11" spans="1:5" ht="15" customHeight="1" x14ac:dyDescent="0.35">
      <c r="A11" s="1"/>
      <c r="B11" s="63" t="s">
        <v>23</v>
      </c>
      <c r="C11" s="9">
        <f>-'Fane 4.1. Gen. krav - drift'!G58</f>
        <v>-502109.94288180157</v>
      </c>
      <c r="D11" s="8" t="s">
        <v>3</v>
      </c>
      <c r="E11" s="1"/>
    </row>
    <row r="12" spans="1:5" ht="15" customHeight="1" x14ac:dyDescent="0.35">
      <c r="A12" s="1"/>
      <c r="B12" s="63" t="s">
        <v>24</v>
      </c>
      <c r="C12" s="9">
        <f>-'Fane 4.2. Gen. krav - anlæg'!G58</f>
        <v>0</v>
      </c>
      <c r="D12" s="8" t="s">
        <v>3</v>
      </c>
      <c r="E12" s="1"/>
    </row>
    <row r="13" spans="1:5" x14ac:dyDescent="0.35">
      <c r="A13" s="1"/>
      <c r="B13" s="33" t="s">
        <v>19</v>
      </c>
      <c r="C13" s="10">
        <f>SUM(C8:C12)</f>
        <v>48107241.616831899</v>
      </c>
      <c r="D13" s="11" t="s">
        <v>3</v>
      </c>
      <c r="E13" s="1"/>
    </row>
    <row r="14" spans="1:5" x14ac:dyDescent="0.35">
      <c r="A14" s="1"/>
      <c r="B14" s="66" t="s">
        <v>11</v>
      </c>
      <c r="C14" s="67"/>
      <c r="D14" s="19"/>
      <c r="E14" s="1"/>
    </row>
    <row r="15" spans="1:5" ht="15" customHeight="1" x14ac:dyDescent="0.35">
      <c r="A15" s="1"/>
      <c r="B15" s="68" t="s">
        <v>11</v>
      </c>
      <c r="C15" s="10">
        <f>'Fane 6. Ikke-påvirkelige omk.'!C16*(1+'Fane 13. Nøgletal'!C15)^3</f>
        <v>27672276.1107664</v>
      </c>
      <c r="D15" s="11" t="s">
        <v>3</v>
      </c>
      <c r="E15" s="1"/>
    </row>
    <row r="16" spans="1:5" x14ac:dyDescent="0.35">
      <c r="A16" s="1"/>
      <c r="B16" s="66" t="s">
        <v>128</v>
      </c>
      <c r="C16" s="67"/>
      <c r="D16" s="19"/>
      <c r="E16" s="1"/>
    </row>
    <row r="17" spans="1:5" x14ac:dyDescent="0.35">
      <c r="A17" s="1"/>
      <c r="B17" s="68" t="s">
        <v>129</v>
      </c>
      <c r="C17" s="10">
        <v>0</v>
      </c>
      <c r="D17" s="11" t="s">
        <v>3</v>
      </c>
      <c r="E17" s="1"/>
    </row>
    <row r="18" spans="1:5" x14ac:dyDescent="0.35">
      <c r="A18" s="1"/>
      <c r="B18" s="25" t="s">
        <v>153</v>
      </c>
      <c r="C18" s="67"/>
      <c r="D18" s="19"/>
      <c r="E18" s="1"/>
    </row>
    <row r="19" spans="1:5" x14ac:dyDescent="0.35">
      <c r="A19" s="1"/>
      <c r="B19" s="79" t="s">
        <v>154</v>
      </c>
      <c r="C19" s="10">
        <f>'Fane 8. Skattesagen'!G15</f>
        <v>0</v>
      </c>
      <c r="D19" s="11" t="s">
        <v>3</v>
      </c>
      <c r="E19" s="1"/>
    </row>
    <row r="20" spans="1:5" x14ac:dyDescent="0.35">
      <c r="A20" s="1"/>
      <c r="B20" s="66" t="s">
        <v>170</v>
      </c>
      <c r="C20" s="12">
        <f>SUM(C13,C15,C17,C19)</f>
        <v>75779517.727598295</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kR3RyCCiUU98w5a1QZ0l30a8fPslZ/vk6kFqrufJFj6KwhGpN9ZSPb8aRp/JDLdLA8r19bovPxaAD76zPcY01w==" saltValue="JlFjADMLdMlLnbfBvG27/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8"/>
  <sheetViews>
    <sheetView showGridLines="0" view="pageLayout" topLeftCell="A4" zoomScaleNormal="100" workbookViewId="0"/>
  </sheetViews>
  <sheetFormatPr defaultColWidth="9" defaultRowHeight="14.5" x14ac:dyDescent="0.35"/>
  <cols>
    <col min="1" max="1" width="7.81640625" style="2" customWidth="1"/>
    <col min="2" max="2" width="51.7265625" style="2" customWidth="1"/>
    <col min="3" max="3" width="9" style="2" hidden="1" customWidth="1"/>
    <col min="4" max="4" width="39.26953125" style="2" hidden="1" customWidth="1"/>
    <col min="5" max="5" width="11" style="2" customWidth="1"/>
    <col min="6" max="6" width="4.54296875" style="2" customWidth="1"/>
    <col min="7" max="7" width="8.26953125" style="2" customWidth="1"/>
    <col min="8" max="16384" width="9"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9" t="s">
        <v>171</v>
      </c>
      <c r="C3" s="109"/>
      <c r="D3" s="109"/>
      <c r="E3" s="109"/>
      <c r="F3" s="109"/>
      <c r="G3" s="1"/>
    </row>
    <row r="4" spans="1:7" ht="29.25" customHeight="1" x14ac:dyDescent="0.35">
      <c r="A4" s="1"/>
      <c r="B4" s="109"/>
      <c r="C4" s="109"/>
      <c r="D4" s="109"/>
      <c r="E4" s="109"/>
      <c r="F4" s="10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66" t="s">
        <v>172</v>
      </c>
      <c r="C8" s="67"/>
      <c r="D8" s="67"/>
      <c r="E8" s="67"/>
      <c r="F8" s="19"/>
      <c r="G8" s="1"/>
    </row>
    <row r="9" spans="1:7" x14ac:dyDescent="0.35">
      <c r="A9" s="1"/>
      <c r="B9" s="110" t="s">
        <v>22</v>
      </c>
      <c r="C9" s="111"/>
      <c r="D9" s="112"/>
      <c r="E9" s="7">
        <v>46192781.426961452</v>
      </c>
      <c r="F9" s="8" t="s">
        <v>3</v>
      </c>
      <c r="G9" s="1"/>
    </row>
    <row r="10" spans="1:7" ht="15" customHeight="1" x14ac:dyDescent="0.35">
      <c r="A10" s="1"/>
      <c r="B10" s="103" t="s">
        <v>35</v>
      </c>
      <c r="C10" s="104"/>
      <c r="D10" s="105"/>
      <c r="E10" s="9">
        <v>135463.5594</v>
      </c>
      <c r="F10" s="8" t="s">
        <v>3</v>
      </c>
      <c r="G10" s="1"/>
    </row>
    <row r="11" spans="1:7" ht="15" customHeight="1" x14ac:dyDescent="0.35">
      <c r="A11" s="1"/>
      <c r="B11" s="103" t="s">
        <v>36</v>
      </c>
      <c r="C11" s="104"/>
      <c r="D11" s="105"/>
      <c r="E11" s="9">
        <v>71223.26370000001</v>
      </c>
      <c r="F11" s="8" t="s">
        <v>3</v>
      </c>
      <c r="G11" s="1"/>
    </row>
    <row r="12" spans="1:7" x14ac:dyDescent="0.35">
      <c r="A12" s="1"/>
      <c r="B12" s="103" t="s">
        <v>26</v>
      </c>
      <c r="C12" s="104"/>
      <c r="D12" s="105"/>
      <c r="E12" s="9">
        <v>0</v>
      </c>
      <c r="F12" s="8" t="s">
        <v>3</v>
      </c>
      <c r="G12" s="1"/>
    </row>
    <row r="13" spans="1:7" x14ac:dyDescent="0.35">
      <c r="A13" s="1"/>
      <c r="B13" s="103" t="s">
        <v>25</v>
      </c>
      <c r="C13" s="104"/>
      <c r="D13" s="105"/>
      <c r="E13" s="9">
        <v>0</v>
      </c>
      <c r="F13" s="8" t="s">
        <v>3</v>
      </c>
      <c r="G13" s="1"/>
    </row>
    <row r="14" spans="1:7" x14ac:dyDescent="0.35">
      <c r="A14" s="1"/>
      <c r="B14" s="103" t="s">
        <v>114</v>
      </c>
      <c r="C14" s="104"/>
      <c r="D14" s="105"/>
      <c r="E14" s="9">
        <v>0</v>
      </c>
      <c r="F14" s="8" t="s">
        <v>3</v>
      </c>
      <c r="G14" s="1"/>
    </row>
    <row r="15" spans="1:7" x14ac:dyDescent="0.35">
      <c r="A15" s="1"/>
      <c r="B15" s="103" t="s">
        <v>115</v>
      </c>
      <c r="C15" s="104"/>
      <c r="D15" s="105"/>
      <c r="E15" s="9">
        <v>0</v>
      </c>
      <c r="F15" s="8" t="s">
        <v>3</v>
      </c>
      <c r="G15" s="1"/>
    </row>
    <row r="16" spans="1:7" x14ac:dyDescent="0.35">
      <c r="A16" s="1"/>
      <c r="B16" s="103" t="s">
        <v>17</v>
      </c>
      <c r="C16" s="104"/>
      <c r="D16" s="105"/>
      <c r="E16" s="9">
        <v>564233.99992515973</v>
      </c>
      <c r="F16" s="8" t="s">
        <v>3</v>
      </c>
      <c r="G16" s="30"/>
    </row>
    <row r="17" spans="1:7" x14ac:dyDescent="0.35">
      <c r="A17" s="1"/>
      <c r="B17" s="103" t="s">
        <v>9</v>
      </c>
      <c r="C17" s="104"/>
      <c r="D17" s="105"/>
      <c r="E17" s="9">
        <v>-308628.78762967634</v>
      </c>
      <c r="F17" s="8" t="s">
        <v>3</v>
      </c>
      <c r="G17" s="1"/>
    </row>
    <row r="18" spans="1:7" x14ac:dyDescent="0.35">
      <c r="A18" s="1"/>
      <c r="B18" s="103" t="s">
        <v>23</v>
      </c>
      <c r="C18" s="104"/>
      <c r="D18" s="105"/>
      <c r="E18" s="9">
        <v>-450976.31347229274</v>
      </c>
      <c r="F18" s="8" t="s">
        <v>3</v>
      </c>
      <c r="G18" s="1"/>
    </row>
    <row r="19" spans="1:7" x14ac:dyDescent="0.35">
      <c r="A19" s="1"/>
      <c r="B19" s="103" t="s">
        <v>24</v>
      </c>
      <c r="C19" s="104"/>
      <c r="D19" s="105"/>
      <c r="E19" s="9">
        <v>-705161.3096219768</v>
      </c>
      <c r="F19" s="8" t="s">
        <v>3</v>
      </c>
      <c r="G19" s="1"/>
    </row>
    <row r="20" spans="1:7" x14ac:dyDescent="0.35">
      <c r="A20" s="1"/>
      <c r="B20" s="116" t="s">
        <v>19</v>
      </c>
      <c r="C20" s="117"/>
      <c r="D20" s="118"/>
      <c r="E20" s="31">
        <f>SUM(E9:E19)</f>
        <v>45498935.839262664</v>
      </c>
      <c r="F20" s="34" t="s">
        <v>3</v>
      </c>
      <c r="G20" s="1"/>
    </row>
    <row r="21" spans="1:7" x14ac:dyDescent="0.35">
      <c r="A21" s="1"/>
      <c r="B21" s="66" t="s">
        <v>11</v>
      </c>
      <c r="C21" s="67"/>
      <c r="D21" s="67"/>
      <c r="E21" s="67"/>
      <c r="F21" s="19"/>
      <c r="G21" s="1"/>
    </row>
    <row r="22" spans="1:7" x14ac:dyDescent="0.35">
      <c r="A22" s="1"/>
      <c r="B22" s="106" t="s">
        <v>11</v>
      </c>
      <c r="C22" s="107"/>
      <c r="D22" s="108"/>
      <c r="E22" s="10">
        <v>22457531.233557384</v>
      </c>
      <c r="F22" s="11" t="s">
        <v>3</v>
      </c>
      <c r="G22" s="1"/>
    </row>
    <row r="23" spans="1:7" ht="15" customHeight="1" x14ac:dyDescent="0.35">
      <c r="A23" s="1"/>
      <c r="B23" s="122" t="s">
        <v>80</v>
      </c>
      <c r="C23" s="123"/>
      <c r="D23" s="123"/>
      <c r="E23" s="67"/>
      <c r="F23" s="67"/>
      <c r="G23" s="1"/>
    </row>
    <row r="24" spans="1:7" ht="14.25" customHeight="1" x14ac:dyDescent="0.35">
      <c r="A24" s="1"/>
      <c r="B24" s="113" t="s">
        <v>76</v>
      </c>
      <c r="C24" s="114"/>
      <c r="D24" s="115"/>
      <c r="E24" s="9">
        <v>0</v>
      </c>
      <c r="F24" s="8" t="s">
        <v>3</v>
      </c>
      <c r="G24" s="1"/>
    </row>
    <row r="25" spans="1:7" ht="14.25" customHeight="1" x14ac:dyDescent="0.35">
      <c r="A25" s="1"/>
      <c r="B25" s="113" t="s">
        <v>77</v>
      </c>
      <c r="C25" s="114"/>
      <c r="D25" s="115"/>
      <c r="E25" s="9">
        <v>0</v>
      </c>
      <c r="F25" s="8" t="s">
        <v>3</v>
      </c>
      <c r="G25" s="1"/>
    </row>
    <row r="26" spans="1:7" x14ac:dyDescent="0.35">
      <c r="A26" s="1"/>
      <c r="B26" s="119" t="s">
        <v>81</v>
      </c>
      <c r="C26" s="120"/>
      <c r="D26" s="120"/>
      <c r="E26" s="10">
        <v>0</v>
      </c>
      <c r="F26" s="11" t="s">
        <v>3</v>
      </c>
      <c r="G26" s="1"/>
    </row>
    <row r="27" spans="1:7" x14ac:dyDescent="0.35">
      <c r="A27" s="1"/>
      <c r="B27" s="66" t="s">
        <v>128</v>
      </c>
      <c r="C27" s="67"/>
      <c r="D27" s="67"/>
      <c r="E27" s="67"/>
      <c r="F27" s="19"/>
      <c r="G27" s="1"/>
    </row>
    <row r="28" spans="1:7" ht="15" customHeight="1" x14ac:dyDescent="0.35">
      <c r="A28" s="1"/>
      <c r="B28" s="119" t="s">
        <v>129</v>
      </c>
      <c r="C28" s="120"/>
      <c r="D28" s="121"/>
      <c r="E28" s="10">
        <v>-4463415.7259863354</v>
      </c>
      <c r="F28" s="11" t="s">
        <v>3</v>
      </c>
      <c r="G28" s="1"/>
    </row>
    <row r="29" spans="1:7" x14ac:dyDescent="0.35">
      <c r="A29" s="1"/>
      <c r="B29" s="66" t="s">
        <v>159</v>
      </c>
      <c r="C29" s="67"/>
      <c r="D29" s="67"/>
      <c r="E29" s="67"/>
      <c r="F29" s="19"/>
      <c r="G29" s="1"/>
    </row>
    <row r="30" spans="1:7" ht="15.75" customHeight="1" x14ac:dyDescent="0.35">
      <c r="A30" s="1"/>
      <c r="B30" s="106" t="s">
        <v>160</v>
      </c>
      <c r="C30" s="107"/>
      <c r="D30" s="108"/>
      <c r="E30" s="10">
        <v>0</v>
      </c>
      <c r="F30" s="11" t="s">
        <v>3</v>
      </c>
      <c r="G30" s="1"/>
    </row>
    <row r="31" spans="1:7" ht="15.75" customHeight="1" x14ac:dyDescent="0.35">
      <c r="A31" s="1"/>
      <c r="B31" s="124" t="s">
        <v>153</v>
      </c>
      <c r="C31" s="125"/>
      <c r="D31" s="125"/>
      <c r="E31" s="125"/>
      <c r="F31" s="126"/>
      <c r="G31" s="1"/>
    </row>
    <row r="32" spans="1:7" ht="15.75" customHeight="1" x14ac:dyDescent="0.35">
      <c r="A32" s="1"/>
      <c r="B32" s="79" t="s">
        <v>154</v>
      </c>
      <c r="C32" s="10"/>
      <c r="D32" s="11"/>
      <c r="E32" s="10">
        <f>'Fane 8. Skattesagen'!G11</f>
        <v>0</v>
      </c>
      <c r="F32" s="11" t="s">
        <v>3</v>
      </c>
      <c r="G32" s="1"/>
    </row>
    <row r="33" spans="1:7" x14ac:dyDescent="0.35">
      <c r="A33" s="1"/>
      <c r="B33" s="35" t="s">
        <v>27</v>
      </c>
      <c r="C33" s="38"/>
      <c r="D33" s="38"/>
      <c r="E33" s="32">
        <f>E20+E22+E26+E28+E30+E32</f>
        <v>63493051.346833721</v>
      </c>
      <c r="F33" s="37" t="s">
        <v>3</v>
      </c>
      <c r="G33" s="1"/>
    </row>
    <row r="34" spans="1:7" ht="27.75" customHeight="1" x14ac:dyDescent="0.35">
      <c r="A34" s="1"/>
      <c r="B34" s="113" t="s">
        <v>173</v>
      </c>
      <c r="C34" s="114"/>
      <c r="D34" s="114"/>
      <c r="E34" s="114"/>
      <c r="F34" s="115"/>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sheetData>
  <sheetProtection algorithmName="SHA-512" hashValue="9ur+Ieo3qN16plZM25yJWbtszPHrZYO0dQiDgkd+0gG7UEQDI6fGvUrrZ5s99GqlCfWlD566p3xWgrEeRhskew==" saltValue="Db5CELNHkfEouN0122nLLQ=="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5"/>
  <sheetViews>
    <sheetView showGridLines="0" view="pageLayout" topLeftCell="A19" zoomScaleNormal="100" workbookViewId="0">
      <selection activeCell="G42" sqref="G42"/>
    </sheetView>
  </sheetViews>
  <sheetFormatPr defaultColWidth="9" defaultRowHeight="14.5" x14ac:dyDescent="0.35"/>
  <cols>
    <col min="1" max="1" width="6" style="2" customWidth="1"/>
    <col min="2" max="5" width="9" style="2"/>
    <col min="6" max="6" width="18.81640625" style="2" customWidth="1"/>
    <col min="7" max="7" width="13.26953125" style="43" customWidth="1"/>
    <col min="8" max="8" width="3.7265625" style="2" customWidth="1"/>
    <col min="9" max="9" width="6.7265625" style="2" customWidth="1"/>
    <col min="10" max="16384" width="9" style="2"/>
  </cols>
  <sheetData>
    <row r="1" spans="1:9" ht="15" customHeight="1" x14ac:dyDescent="0.35">
      <c r="A1" s="1"/>
      <c r="B1" s="109" t="s">
        <v>98</v>
      </c>
      <c r="C1" s="109"/>
      <c r="D1" s="109"/>
      <c r="E1" s="109"/>
      <c r="F1" s="109"/>
      <c r="G1" s="109"/>
      <c r="H1" s="109"/>
      <c r="I1" s="1"/>
    </row>
    <row r="2" spans="1:9" ht="15" customHeight="1" x14ac:dyDescent="0.35">
      <c r="A2" s="1"/>
      <c r="B2" s="109"/>
      <c r="C2" s="109"/>
      <c r="D2" s="109"/>
      <c r="E2" s="109"/>
      <c r="F2" s="109"/>
      <c r="G2" s="109"/>
      <c r="H2" s="109"/>
      <c r="I2" s="1"/>
    </row>
    <row r="3" spans="1:9" ht="15" customHeight="1" x14ac:dyDescent="0.35">
      <c r="A3" s="1"/>
      <c r="B3" s="109"/>
      <c r="C3" s="109"/>
      <c r="D3" s="109"/>
      <c r="E3" s="109"/>
      <c r="F3" s="109"/>
      <c r="G3" s="109"/>
      <c r="H3" s="109"/>
      <c r="I3" s="1"/>
    </row>
    <row r="4" spans="1:9" x14ac:dyDescent="0.35">
      <c r="A4" s="1"/>
      <c r="B4" s="124" t="s">
        <v>49</v>
      </c>
      <c r="C4" s="125"/>
      <c r="D4" s="125"/>
      <c r="E4" s="125"/>
      <c r="F4" s="125"/>
      <c r="G4" s="125"/>
      <c r="H4" s="126"/>
      <c r="I4" s="1"/>
    </row>
    <row r="5" spans="1:9" x14ac:dyDescent="0.35">
      <c r="A5" s="1"/>
      <c r="B5" s="127" t="s">
        <v>38</v>
      </c>
      <c r="C5" s="128"/>
      <c r="D5" s="128"/>
      <c r="E5" s="128"/>
      <c r="F5" s="129"/>
      <c r="G5" s="57">
        <v>22461588.906828538</v>
      </c>
      <c r="H5" s="14" t="s">
        <v>3</v>
      </c>
      <c r="I5" s="1"/>
    </row>
    <row r="6" spans="1:9" x14ac:dyDescent="0.35">
      <c r="A6" s="1"/>
      <c r="B6" s="127" t="s">
        <v>39</v>
      </c>
      <c r="C6" s="128"/>
      <c r="D6" s="128"/>
      <c r="E6" s="128"/>
      <c r="F6" s="129"/>
      <c r="G6" s="57">
        <f>G5*'Fane 13. Nøgletal'!C31</f>
        <v>449231.77813657076</v>
      </c>
      <c r="H6" s="14" t="s">
        <v>3</v>
      </c>
      <c r="I6" s="1"/>
    </row>
    <row r="7" spans="1:9" x14ac:dyDescent="0.35">
      <c r="A7" s="1"/>
      <c r="B7" s="66"/>
      <c r="C7" s="67"/>
      <c r="D7" s="67"/>
      <c r="E7" s="67"/>
      <c r="F7" s="67"/>
      <c r="G7" s="58"/>
      <c r="H7" s="19"/>
      <c r="I7" s="1"/>
    </row>
    <row r="8" spans="1:9" x14ac:dyDescent="0.35">
      <c r="A8" s="1"/>
      <c r="B8" s="1"/>
      <c r="C8" s="1"/>
      <c r="D8" s="1"/>
      <c r="E8" s="1"/>
      <c r="F8" s="1"/>
      <c r="G8" s="59"/>
      <c r="H8" s="1"/>
      <c r="I8" s="1"/>
    </row>
    <row r="9" spans="1:9" x14ac:dyDescent="0.35">
      <c r="A9" s="1"/>
      <c r="B9" s="124" t="s">
        <v>50</v>
      </c>
      <c r="C9" s="125"/>
      <c r="D9" s="125"/>
      <c r="E9" s="125"/>
      <c r="F9" s="125"/>
      <c r="G9" s="130"/>
      <c r="H9" s="126"/>
      <c r="I9" s="1"/>
    </row>
    <row r="10" spans="1:9" x14ac:dyDescent="0.35">
      <c r="A10" s="1"/>
      <c r="B10" s="127" t="s">
        <v>40</v>
      </c>
      <c r="C10" s="128"/>
      <c r="D10" s="128"/>
      <c r="E10" s="128"/>
      <c r="F10" s="129"/>
      <c r="G10" s="57">
        <f>(G5-G6)*(1+'Fane 13. Nøgletal'!C9)</f>
        <v>22291914.064226355</v>
      </c>
      <c r="H10" s="14" t="s">
        <v>3</v>
      </c>
      <c r="I10" s="1"/>
    </row>
    <row r="11" spans="1:9" x14ac:dyDescent="0.35">
      <c r="A11" s="1"/>
      <c r="B11" s="131" t="s">
        <v>41</v>
      </c>
      <c r="C11" s="132"/>
      <c r="D11" s="132"/>
      <c r="E11" s="132"/>
      <c r="F11" s="133"/>
      <c r="G11" s="57">
        <v>0</v>
      </c>
      <c r="H11" s="14" t="s">
        <v>3</v>
      </c>
      <c r="I11" s="1"/>
    </row>
    <row r="12" spans="1:9" x14ac:dyDescent="0.35">
      <c r="A12" s="1"/>
      <c r="B12" s="127" t="s">
        <v>42</v>
      </c>
      <c r="C12" s="128"/>
      <c r="D12" s="128"/>
      <c r="E12" s="128"/>
      <c r="F12" s="129"/>
      <c r="G12" s="57">
        <f>(G10+G11)*'Fane 13. Nøgletal'!C31</f>
        <v>445838.2812845271</v>
      </c>
      <c r="H12" s="14" t="s">
        <v>3</v>
      </c>
      <c r="I12" s="1"/>
    </row>
    <row r="13" spans="1:9" x14ac:dyDescent="0.35">
      <c r="A13" s="1"/>
      <c r="B13" s="66"/>
      <c r="C13" s="67"/>
      <c r="D13" s="67"/>
      <c r="E13" s="67"/>
      <c r="F13" s="67"/>
      <c r="G13" s="58"/>
      <c r="H13" s="19"/>
      <c r="I13" s="1"/>
    </row>
    <row r="14" spans="1:9" x14ac:dyDescent="0.35">
      <c r="A14" s="1"/>
      <c r="B14" s="1"/>
      <c r="C14" s="1"/>
      <c r="D14" s="1"/>
      <c r="E14" s="1"/>
      <c r="F14" s="1"/>
      <c r="G14" s="59"/>
      <c r="H14" s="1"/>
      <c r="I14" s="1"/>
    </row>
    <row r="15" spans="1:9" x14ac:dyDescent="0.35">
      <c r="A15" s="1"/>
      <c r="B15" s="124" t="s">
        <v>51</v>
      </c>
      <c r="C15" s="125"/>
      <c r="D15" s="125"/>
      <c r="E15" s="125"/>
      <c r="F15" s="125"/>
      <c r="G15" s="130"/>
      <c r="H15" s="126"/>
      <c r="I15" s="1"/>
    </row>
    <row r="16" spans="1:9" x14ac:dyDescent="0.35">
      <c r="A16" s="1"/>
      <c r="B16" s="127" t="s">
        <v>43</v>
      </c>
      <c r="C16" s="128"/>
      <c r="D16" s="128"/>
      <c r="E16" s="128"/>
      <c r="F16" s="129"/>
      <c r="G16" s="57">
        <f>(G10+G11-G12)*(1+'Fane 13. Nøgletal'!C11)</f>
        <v>22215274.463673543</v>
      </c>
      <c r="H16" s="14" t="s">
        <v>3</v>
      </c>
      <c r="I16" s="1"/>
    </row>
    <row r="17" spans="1:9" x14ac:dyDescent="0.35">
      <c r="A17" s="1"/>
      <c r="B17" s="127" t="s">
        <v>108</v>
      </c>
      <c r="C17" s="128"/>
      <c r="D17" s="128"/>
      <c r="E17" s="128"/>
      <c r="F17" s="129"/>
      <c r="G17" s="57">
        <v>-1093812.3898450055</v>
      </c>
      <c r="H17" s="14" t="s">
        <v>3</v>
      </c>
      <c r="I17" s="1"/>
    </row>
    <row r="18" spans="1:9" x14ac:dyDescent="0.35">
      <c r="A18" s="1"/>
      <c r="B18" s="131" t="s">
        <v>44</v>
      </c>
      <c r="C18" s="132"/>
      <c r="D18" s="132"/>
      <c r="E18" s="132"/>
      <c r="F18" s="133"/>
      <c r="G18" s="57">
        <v>0</v>
      </c>
      <c r="H18" s="14" t="s">
        <v>3</v>
      </c>
      <c r="I18" s="1"/>
    </row>
    <row r="19" spans="1:9" x14ac:dyDescent="0.35">
      <c r="A19" s="1"/>
      <c r="B19" s="127" t="s">
        <v>45</v>
      </c>
      <c r="C19" s="128"/>
      <c r="D19" s="128"/>
      <c r="E19" s="128"/>
      <c r="F19" s="129"/>
      <c r="G19" s="57">
        <f>SUM(G16:G18)*'Fane 13. Nøgletal'!C31</f>
        <v>422429.24147657072</v>
      </c>
      <c r="H19" s="14" t="s">
        <v>3</v>
      </c>
      <c r="I19" s="1"/>
    </row>
    <row r="20" spans="1:9" x14ac:dyDescent="0.35">
      <c r="A20" s="1"/>
      <c r="B20" s="66"/>
      <c r="C20" s="67"/>
      <c r="D20" s="67"/>
      <c r="E20" s="67"/>
      <c r="F20" s="67"/>
      <c r="G20" s="58"/>
      <c r="H20" s="19"/>
      <c r="I20" s="1"/>
    </row>
    <row r="21" spans="1:9" x14ac:dyDescent="0.35">
      <c r="A21" s="1"/>
      <c r="B21" s="1"/>
      <c r="C21" s="1"/>
      <c r="D21" s="1"/>
      <c r="E21" s="1"/>
      <c r="F21" s="1"/>
      <c r="G21" s="59"/>
      <c r="H21" s="1"/>
      <c r="I21" s="1"/>
    </row>
    <row r="22" spans="1:9" x14ac:dyDescent="0.35">
      <c r="A22" s="1"/>
      <c r="B22" s="124" t="s">
        <v>52</v>
      </c>
      <c r="C22" s="125"/>
      <c r="D22" s="125"/>
      <c r="E22" s="125"/>
      <c r="F22" s="125"/>
      <c r="G22" s="130"/>
      <c r="H22" s="126"/>
      <c r="I22" s="1"/>
    </row>
    <row r="23" spans="1:9" x14ac:dyDescent="0.35">
      <c r="A23" s="1"/>
      <c r="B23" s="127" t="s">
        <v>46</v>
      </c>
      <c r="C23" s="128"/>
      <c r="D23" s="128"/>
      <c r="E23" s="128"/>
      <c r="F23" s="129"/>
      <c r="G23" s="57">
        <f>(SUM(G16:G18)-G19)*(1+'Fane 13. Nøgletal'!C11)</f>
        <v>21048846.487218715</v>
      </c>
      <c r="H23" s="14" t="s">
        <v>3</v>
      </c>
      <c r="I23" s="1"/>
    </row>
    <row r="24" spans="1:9" x14ac:dyDescent="0.35">
      <c r="A24" s="1"/>
      <c r="B24" s="131" t="s">
        <v>47</v>
      </c>
      <c r="C24" s="132"/>
      <c r="D24" s="132"/>
      <c r="E24" s="132"/>
      <c r="F24" s="133"/>
      <c r="G24" s="57">
        <v>531560.34806183935</v>
      </c>
      <c r="H24" s="14" t="s">
        <v>3</v>
      </c>
      <c r="I24" s="1"/>
    </row>
    <row r="25" spans="1:9" x14ac:dyDescent="0.35">
      <c r="A25" s="1"/>
      <c r="B25" s="127" t="s">
        <v>48</v>
      </c>
      <c r="C25" s="128"/>
      <c r="D25" s="128"/>
      <c r="E25" s="128"/>
      <c r="F25" s="129"/>
      <c r="G25" s="57">
        <f>(G23+G24)*'Fane 13. Nøgletal'!C31</f>
        <v>431608.13670561113</v>
      </c>
      <c r="H25" s="14" t="s">
        <v>3</v>
      </c>
      <c r="I25" s="1"/>
    </row>
    <row r="26" spans="1:9" x14ac:dyDescent="0.35">
      <c r="A26" s="1"/>
      <c r="B26" s="66"/>
      <c r="C26" s="67"/>
      <c r="D26" s="67"/>
      <c r="E26" s="67"/>
      <c r="F26" s="67"/>
      <c r="G26" s="58"/>
      <c r="H26" s="19"/>
      <c r="I26" s="1"/>
    </row>
    <row r="27" spans="1:9" x14ac:dyDescent="0.35">
      <c r="A27" s="1"/>
      <c r="B27" s="1"/>
      <c r="C27" s="1"/>
      <c r="D27" s="1"/>
      <c r="E27" s="1"/>
      <c r="F27" s="1"/>
      <c r="G27" s="59"/>
      <c r="H27" s="1"/>
      <c r="I27" s="1"/>
    </row>
    <row r="28" spans="1:9" x14ac:dyDescent="0.35">
      <c r="A28" s="1"/>
      <c r="B28" s="124" t="s">
        <v>132</v>
      </c>
      <c r="C28" s="125"/>
      <c r="D28" s="125"/>
      <c r="E28" s="125"/>
      <c r="F28" s="125"/>
      <c r="G28" s="130"/>
      <c r="H28" s="126"/>
      <c r="I28" s="1"/>
    </row>
    <row r="29" spans="1:9" x14ac:dyDescent="0.35">
      <c r="A29" s="1"/>
      <c r="B29" s="127" t="s">
        <v>55</v>
      </c>
      <c r="C29" s="128"/>
      <c r="D29" s="128"/>
      <c r="E29" s="128"/>
      <c r="F29" s="129"/>
      <c r="G29" s="57">
        <f>(G23+G24-G25)*(1+'Fane 13. Nøgletal'!C13)</f>
        <v>21406814.04269756</v>
      </c>
      <c r="H29" s="14" t="s">
        <v>3</v>
      </c>
      <c r="I29" s="1"/>
    </row>
    <row r="30" spans="1:9" x14ac:dyDescent="0.35">
      <c r="A30" s="1"/>
      <c r="B30" s="127" t="s">
        <v>121</v>
      </c>
      <c r="C30" s="128"/>
      <c r="D30" s="128"/>
      <c r="E30" s="128"/>
      <c r="F30" s="129"/>
      <c r="G30" s="57">
        <v>1187842.4586680399</v>
      </c>
      <c r="H30" s="14" t="s">
        <v>3</v>
      </c>
      <c r="I30" s="1"/>
    </row>
    <row r="31" spans="1:9" x14ac:dyDescent="0.35">
      <c r="A31" s="1"/>
      <c r="B31" s="127" t="s">
        <v>126</v>
      </c>
      <c r="C31" s="128"/>
      <c r="D31" s="128"/>
      <c r="E31" s="128"/>
      <c r="F31" s="129"/>
      <c r="G31" s="57">
        <f>(G29+G30)*'Fane 13. Nøgletal'!C31</f>
        <v>451893.13002731197</v>
      </c>
      <c r="H31" s="14" t="s">
        <v>3</v>
      </c>
      <c r="I31" s="1"/>
    </row>
    <row r="32" spans="1:9" x14ac:dyDescent="0.35">
      <c r="A32" s="1"/>
      <c r="B32" s="66"/>
      <c r="C32" s="67"/>
      <c r="D32" s="67"/>
      <c r="E32" s="67"/>
      <c r="F32" s="67"/>
      <c r="G32" s="58"/>
      <c r="H32" s="19"/>
      <c r="I32" s="1"/>
    </row>
    <row r="33" spans="1:9" x14ac:dyDescent="0.35">
      <c r="A33" s="1"/>
      <c r="B33" s="1"/>
      <c r="C33" s="1"/>
      <c r="D33" s="1"/>
      <c r="E33" s="1"/>
      <c r="F33" s="1"/>
      <c r="G33" s="59"/>
      <c r="H33" s="1"/>
      <c r="I33" s="1"/>
    </row>
    <row r="34" spans="1:9" x14ac:dyDescent="0.35">
      <c r="A34" s="1"/>
      <c r="B34" s="124" t="s">
        <v>133</v>
      </c>
      <c r="C34" s="125"/>
      <c r="D34" s="125"/>
      <c r="E34" s="125"/>
      <c r="F34" s="125"/>
      <c r="G34" s="130"/>
      <c r="H34" s="126"/>
      <c r="I34" s="1"/>
    </row>
    <row r="35" spans="1:9" x14ac:dyDescent="0.35">
      <c r="A35" s="1"/>
      <c r="B35" s="127" t="s">
        <v>74</v>
      </c>
      <c r="C35" s="128"/>
      <c r="D35" s="128"/>
      <c r="E35" s="128"/>
      <c r="F35" s="129"/>
      <c r="G35" s="57">
        <f>(G29+G30-G31)*(1+'Fane 13. Nøgletal'!C13)</f>
        <v>22412905.084468611</v>
      </c>
      <c r="H35" s="14" t="s">
        <v>3</v>
      </c>
      <c r="I35" s="1"/>
    </row>
    <row r="36" spans="1:9" x14ac:dyDescent="0.35">
      <c r="A36" s="1"/>
      <c r="B36" s="127" t="s">
        <v>152</v>
      </c>
      <c r="C36" s="128"/>
      <c r="D36" s="128"/>
      <c r="E36" s="128"/>
      <c r="F36" s="129"/>
      <c r="G36" s="57">
        <f>('Fane 3. Omkostninger i ØR2022'!E10+'Fane 3. Omkostninger i ØR2022'!E12+'Fane 3. Omkostninger i ØR2022'!E14)*(1+'Fane 13. Nøgletal'!C14)</f>
        <v>135910.58914602001</v>
      </c>
      <c r="H36" s="14" t="s">
        <v>3</v>
      </c>
      <c r="I36" s="1"/>
    </row>
    <row r="37" spans="1:9" x14ac:dyDescent="0.35">
      <c r="A37" s="1"/>
      <c r="B37" s="127" t="s">
        <v>134</v>
      </c>
      <c r="C37" s="128"/>
      <c r="D37" s="128"/>
      <c r="E37" s="128"/>
      <c r="F37" s="129"/>
      <c r="G37" s="57">
        <f>(G35+G36)*'Fane 13. Nøgletal'!C31</f>
        <v>450976.31347229268</v>
      </c>
      <c r="H37" s="14" t="s">
        <v>3</v>
      </c>
      <c r="I37" s="1"/>
    </row>
    <row r="38" spans="1:9" x14ac:dyDescent="0.35">
      <c r="A38" s="1"/>
      <c r="B38" s="66"/>
      <c r="C38" s="67"/>
      <c r="D38" s="67"/>
      <c r="E38" s="67"/>
      <c r="F38" s="67"/>
      <c r="G38" s="58"/>
      <c r="H38" s="19"/>
      <c r="I38" s="1"/>
    </row>
    <row r="39" spans="1:9" x14ac:dyDescent="0.35">
      <c r="A39" s="1"/>
      <c r="B39" s="1"/>
      <c r="C39" s="1"/>
      <c r="D39" s="1"/>
      <c r="E39" s="1"/>
      <c r="F39" s="1"/>
      <c r="G39" s="59"/>
      <c r="H39" s="1"/>
      <c r="I39" s="1"/>
    </row>
    <row r="40" spans="1:9" x14ac:dyDescent="0.35">
      <c r="A40" s="1"/>
      <c r="B40" s="124" t="s">
        <v>198</v>
      </c>
      <c r="C40" s="125"/>
      <c r="D40" s="125"/>
      <c r="E40" s="125"/>
      <c r="F40" s="125"/>
      <c r="G40" s="130"/>
      <c r="H40" s="126"/>
      <c r="I40" s="1"/>
    </row>
    <row r="41" spans="1:9" x14ac:dyDescent="0.35">
      <c r="A41" s="1"/>
      <c r="B41" s="127" t="s">
        <v>73</v>
      </c>
      <c r="C41" s="128"/>
      <c r="D41" s="128"/>
      <c r="E41" s="128"/>
      <c r="F41" s="129"/>
      <c r="G41" s="57">
        <f>(G35+G36-G37)*(1+'Fane 13. Nøgletal'!C15)</f>
        <v>22884522.441363409</v>
      </c>
      <c r="H41" s="14" t="s">
        <v>3</v>
      </c>
      <c r="I41" s="1"/>
    </row>
    <row r="42" spans="1:9" x14ac:dyDescent="0.35">
      <c r="A42" s="1"/>
      <c r="B42" s="127" t="s">
        <v>197</v>
      </c>
      <c r="C42" s="128"/>
      <c r="D42" s="128"/>
      <c r="E42" s="128"/>
      <c r="F42" s="129"/>
      <c r="G42" s="57">
        <f>('Fane 2.1. Økonomisk ramme 2023'!C9+'Fane 2.1. Økonomisk ramme 2023'!C11+'Fane 2.1. Økonomisk ramme 2023'!C13)*(1+'Fane 13. Nøgletal'!C15)</f>
        <v>1132240.6133313598</v>
      </c>
      <c r="H42" s="14" t="s">
        <v>3</v>
      </c>
      <c r="I42" s="1"/>
    </row>
    <row r="43" spans="1:9" x14ac:dyDescent="0.35">
      <c r="A43" s="1"/>
      <c r="B43" s="127" t="s">
        <v>208</v>
      </c>
      <c r="C43" s="128"/>
      <c r="D43" s="128"/>
      <c r="E43" s="128"/>
      <c r="F43" s="129"/>
      <c r="G43" s="57">
        <f>(G41+G42)*'Fane 13. Nøgletal'!C31</f>
        <v>480335.26109389536</v>
      </c>
      <c r="H43" s="14" t="s">
        <v>3</v>
      </c>
      <c r="I43" s="1"/>
    </row>
    <row r="44" spans="1:9" x14ac:dyDescent="0.35">
      <c r="A44" s="1"/>
      <c r="B44" s="66"/>
      <c r="C44" s="67"/>
      <c r="D44" s="67"/>
      <c r="E44" s="67"/>
      <c r="F44" s="67"/>
      <c r="G44" s="58"/>
      <c r="H44" s="19"/>
      <c r="I44" s="1"/>
    </row>
    <row r="45" spans="1:9" x14ac:dyDescent="0.35">
      <c r="A45" s="1"/>
      <c r="B45" s="1"/>
      <c r="C45" s="1"/>
      <c r="D45" s="1"/>
      <c r="E45" s="1"/>
      <c r="F45" s="1"/>
      <c r="G45" s="59"/>
      <c r="H45" s="1"/>
      <c r="I45" s="1"/>
    </row>
    <row r="46" spans="1:9" x14ac:dyDescent="0.35">
      <c r="A46" s="1"/>
      <c r="B46" s="124" t="s">
        <v>199</v>
      </c>
      <c r="C46" s="125"/>
      <c r="D46" s="125"/>
      <c r="E46" s="125"/>
      <c r="F46" s="125"/>
      <c r="G46" s="130"/>
      <c r="H46" s="126"/>
      <c r="I46" s="1"/>
    </row>
    <row r="47" spans="1:9" x14ac:dyDescent="0.35">
      <c r="A47" s="1"/>
      <c r="B47" s="127" t="s">
        <v>122</v>
      </c>
      <c r="C47" s="128"/>
      <c r="D47" s="128"/>
      <c r="E47" s="128"/>
      <c r="F47" s="129"/>
      <c r="G47" s="57">
        <f>(G41+G42-G43)*(1+'Fane 13. Nøgletal'!C15)</f>
        <v>24374324.623053066</v>
      </c>
      <c r="H47" s="14" t="s">
        <v>3</v>
      </c>
      <c r="I47" s="1"/>
    </row>
    <row r="48" spans="1:9" x14ac:dyDescent="0.35">
      <c r="A48" s="1"/>
      <c r="B48" s="127" t="s">
        <v>209</v>
      </c>
      <c r="C48" s="128"/>
      <c r="D48" s="128"/>
      <c r="E48" s="128"/>
      <c r="F48" s="129"/>
      <c r="G48" s="57">
        <f>(G47)*'Fane 13. Nøgletal'!C31</f>
        <v>487486.49246106134</v>
      </c>
      <c r="H48" s="14" t="s">
        <v>3</v>
      </c>
      <c r="I48" s="1"/>
    </row>
    <row r="49" spans="1:9" x14ac:dyDescent="0.35">
      <c r="A49" s="1"/>
      <c r="B49" s="66"/>
      <c r="C49" s="67"/>
      <c r="D49" s="67"/>
      <c r="E49" s="67"/>
      <c r="F49" s="67"/>
      <c r="G49" s="58"/>
      <c r="H49" s="19"/>
      <c r="I49" s="1"/>
    </row>
    <row r="50" spans="1:9" x14ac:dyDescent="0.35">
      <c r="A50" s="1"/>
      <c r="B50" s="1"/>
      <c r="C50" s="1"/>
      <c r="D50" s="1"/>
      <c r="E50" s="1"/>
      <c r="F50" s="1"/>
      <c r="G50" s="59"/>
      <c r="H50" s="1"/>
      <c r="I50" s="1"/>
    </row>
    <row r="51" spans="1:9" x14ac:dyDescent="0.35">
      <c r="A51" s="1"/>
      <c r="B51" s="124" t="s">
        <v>145</v>
      </c>
      <c r="C51" s="125"/>
      <c r="D51" s="125"/>
      <c r="E51" s="125"/>
      <c r="F51" s="125"/>
      <c r="G51" s="130"/>
      <c r="H51" s="126"/>
      <c r="I51" s="1"/>
    </row>
    <row r="52" spans="1:9" x14ac:dyDescent="0.35">
      <c r="A52" s="1"/>
      <c r="B52" s="127" t="s">
        <v>146</v>
      </c>
      <c r="C52" s="128"/>
      <c r="D52" s="128"/>
      <c r="E52" s="128"/>
      <c r="F52" s="129"/>
      <c r="G52" s="57">
        <f>(G47-G48)*(1+'Fane 13. Nøgletal'!C15)</f>
        <v>24737209.568041079</v>
      </c>
      <c r="H52" s="14" t="s">
        <v>3</v>
      </c>
      <c r="I52" s="1"/>
    </row>
    <row r="53" spans="1:9" x14ac:dyDescent="0.35">
      <c r="A53" s="1"/>
      <c r="B53" s="127" t="s">
        <v>147</v>
      </c>
      <c r="C53" s="128"/>
      <c r="D53" s="128"/>
      <c r="E53" s="128"/>
      <c r="F53" s="129"/>
      <c r="G53" s="57">
        <f>(G52)*'Fane 13. Nøgletal'!C31</f>
        <v>494744.1913608216</v>
      </c>
      <c r="H53" s="14" t="s">
        <v>3</v>
      </c>
      <c r="I53" s="1"/>
    </row>
    <row r="54" spans="1:9" x14ac:dyDescent="0.35">
      <c r="A54" s="1"/>
      <c r="B54" s="66"/>
      <c r="C54" s="67"/>
      <c r="D54" s="67"/>
      <c r="E54" s="67"/>
      <c r="F54" s="67"/>
      <c r="G54" s="58"/>
      <c r="H54" s="19"/>
      <c r="I54" s="1"/>
    </row>
    <row r="55" spans="1:9" x14ac:dyDescent="0.35">
      <c r="A55" s="1"/>
      <c r="B55" s="1"/>
      <c r="C55" s="1"/>
      <c r="D55" s="1"/>
      <c r="E55" s="1"/>
      <c r="F55" s="1"/>
      <c r="G55" s="59"/>
      <c r="H55" s="1"/>
      <c r="I55" s="1"/>
    </row>
    <row r="56" spans="1:9" x14ac:dyDescent="0.35">
      <c r="A56" s="1"/>
      <c r="B56" s="124" t="s">
        <v>174</v>
      </c>
      <c r="C56" s="125"/>
      <c r="D56" s="125"/>
      <c r="E56" s="125"/>
      <c r="F56" s="125"/>
      <c r="G56" s="130"/>
      <c r="H56" s="126"/>
      <c r="I56" s="1"/>
    </row>
    <row r="57" spans="1:9" x14ac:dyDescent="0.35">
      <c r="A57" s="1"/>
      <c r="B57" s="127" t="s">
        <v>175</v>
      </c>
      <c r="C57" s="128"/>
      <c r="D57" s="128"/>
      <c r="E57" s="128"/>
      <c r="F57" s="129"/>
      <c r="G57" s="57">
        <f>(G52-G53)*(1+'Fane 13. Nøgletal'!C15)</f>
        <v>25105497.144090079</v>
      </c>
      <c r="H57" s="14" t="s">
        <v>3</v>
      </c>
      <c r="I57" s="1"/>
    </row>
    <row r="58" spans="1:9" x14ac:dyDescent="0.35">
      <c r="A58" s="1"/>
      <c r="B58" s="127" t="s">
        <v>176</v>
      </c>
      <c r="C58" s="128"/>
      <c r="D58" s="128"/>
      <c r="E58" s="128"/>
      <c r="F58" s="129"/>
      <c r="G58" s="57">
        <f>(G57)*'Fane 13. Nøgletal'!C31</f>
        <v>502109.94288180157</v>
      </c>
      <c r="H58" s="14" t="s">
        <v>3</v>
      </c>
      <c r="I58" s="1"/>
    </row>
    <row r="59" spans="1:9" x14ac:dyDescent="0.35">
      <c r="A59" s="1"/>
      <c r="B59" s="66"/>
      <c r="C59" s="67"/>
      <c r="D59" s="67"/>
      <c r="E59" s="67"/>
      <c r="F59" s="67"/>
      <c r="G59" s="41"/>
      <c r="H59" s="19"/>
      <c r="I59" s="1"/>
    </row>
    <row r="60" spans="1:9" x14ac:dyDescent="0.35">
      <c r="A60" s="1"/>
      <c r="B60" s="1"/>
      <c r="C60" s="1"/>
      <c r="D60" s="1"/>
      <c r="E60" s="1"/>
      <c r="F60" s="1"/>
      <c r="G60" s="42"/>
      <c r="H60" s="1"/>
      <c r="I60" s="1"/>
    </row>
    <row r="61" spans="1:9" x14ac:dyDescent="0.35">
      <c r="A61" s="1"/>
      <c r="B61" s="1"/>
      <c r="C61" s="1"/>
      <c r="D61" s="1"/>
      <c r="E61" s="1"/>
      <c r="F61" s="1"/>
      <c r="G61" s="42"/>
      <c r="H61" s="1"/>
      <c r="I61" s="1"/>
    </row>
    <row r="62" spans="1:9" x14ac:dyDescent="0.35">
      <c r="A62" s="1"/>
      <c r="B62" s="1"/>
      <c r="C62" s="1"/>
      <c r="D62" s="1"/>
      <c r="E62" s="1"/>
      <c r="F62" s="1"/>
      <c r="G62" s="42"/>
      <c r="H62" s="1"/>
      <c r="I62" s="1"/>
    </row>
    <row r="63" spans="1:9" x14ac:dyDescent="0.35">
      <c r="A63" s="1"/>
      <c r="B63" s="1"/>
      <c r="C63" s="1"/>
      <c r="D63" s="1"/>
      <c r="E63" s="1"/>
      <c r="F63" s="1"/>
      <c r="G63" s="42"/>
      <c r="H63" s="1"/>
      <c r="I63" s="1"/>
    </row>
    <row r="64" spans="1:9" x14ac:dyDescent="0.35">
      <c r="A64" s="1"/>
      <c r="B64" s="1"/>
      <c r="C64" s="1"/>
      <c r="D64" s="1"/>
      <c r="E64" s="1"/>
      <c r="F64" s="1"/>
      <c r="G64" s="42"/>
      <c r="H64" s="1"/>
      <c r="I64" s="1"/>
    </row>
    <row r="65" spans="1:9" x14ac:dyDescent="0.35">
      <c r="A65" s="1"/>
      <c r="B65" s="1"/>
      <c r="C65" s="1"/>
      <c r="D65" s="1"/>
      <c r="E65" s="1"/>
      <c r="F65" s="1"/>
      <c r="G65" s="42"/>
      <c r="H65" s="1"/>
      <c r="I65" s="1"/>
    </row>
  </sheetData>
  <sheetProtection algorithmName="SHA-512" hashValue="sgyC49ega4rBPRrLgtQW8IpGXa6zCV/ZioBmnILp8CyE+iWbvV4iAeI+BcsFZkN7czI3kBzALr2ovU5BdZ0wNA==" saltValue="t+YosMB5gEwqTXvVJ05vmg=="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65"/>
  <sheetViews>
    <sheetView showGridLines="0" view="pageLayout" zoomScaleNormal="120" workbookViewId="0"/>
  </sheetViews>
  <sheetFormatPr defaultColWidth="9" defaultRowHeight="14.5" x14ac:dyDescent="0.35"/>
  <cols>
    <col min="1" max="1" width="6.26953125" style="2" customWidth="1"/>
    <col min="2" max="5" width="9" style="2"/>
    <col min="6" max="6" width="25" style="2" customWidth="1"/>
    <col min="7" max="7" width="10.26953125" style="2" customWidth="1"/>
    <col min="8" max="8" width="2.81640625" style="2" bestFit="1" customWidth="1"/>
    <col min="9" max="9" width="6" style="2" customWidth="1"/>
    <col min="10" max="16384" width="9" style="2"/>
  </cols>
  <sheetData>
    <row r="1" spans="1:9" x14ac:dyDescent="0.35">
      <c r="A1" s="1"/>
      <c r="B1" s="134" t="s">
        <v>99</v>
      </c>
      <c r="C1" s="135"/>
      <c r="D1" s="135"/>
      <c r="E1" s="135"/>
      <c r="F1" s="135"/>
      <c r="G1" s="135"/>
      <c r="H1" s="135"/>
      <c r="I1" s="1"/>
    </row>
    <row r="2" spans="1:9" ht="19.899999999999999" customHeight="1" x14ac:dyDescent="0.35">
      <c r="A2" s="1"/>
      <c r="B2" s="135"/>
      <c r="C2" s="135"/>
      <c r="D2" s="135"/>
      <c r="E2" s="135"/>
      <c r="F2" s="135"/>
      <c r="G2" s="135"/>
      <c r="H2" s="135"/>
      <c r="I2" s="1"/>
    </row>
    <row r="3" spans="1:9" ht="15" customHeight="1" x14ac:dyDescent="0.35">
      <c r="A3" s="1"/>
      <c r="B3" s="136"/>
      <c r="C3" s="136"/>
      <c r="D3" s="136"/>
      <c r="E3" s="136"/>
      <c r="F3" s="136"/>
      <c r="G3" s="136"/>
      <c r="H3" s="136"/>
      <c r="I3" s="1"/>
    </row>
    <row r="4" spans="1:9" x14ac:dyDescent="0.35">
      <c r="A4" s="1"/>
      <c r="B4" s="124" t="s">
        <v>53</v>
      </c>
      <c r="C4" s="125"/>
      <c r="D4" s="125"/>
      <c r="E4" s="125"/>
      <c r="F4" s="125"/>
      <c r="G4" s="125"/>
      <c r="H4" s="126"/>
      <c r="I4" s="1"/>
    </row>
    <row r="5" spans="1:9" x14ac:dyDescent="0.35">
      <c r="A5" s="1"/>
      <c r="B5" s="127" t="s">
        <v>56</v>
      </c>
      <c r="C5" s="128"/>
      <c r="D5" s="128"/>
      <c r="E5" s="128"/>
      <c r="F5" s="129"/>
      <c r="G5" s="57">
        <v>20844582.670997187</v>
      </c>
      <c r="H5" s="14" t="s">
        <v>3</v>
      </c>
      <c r="I5" s="1"/>
    </row>
    <row r="6" spans="1:9" x14ac:dyDescent="0.35">
      <c r="A6" s="1"/>
      <c r="B6" s="127" t="s">
        <v>54</v>
      </c>
      <c r="C6" s="128"/>
      <c r="D6" s="128"/>
      <c r="E6" s="128"/>
      <c r="F6" s="129"/>
      <c r="G6" s="57">
        <f>G5*'Fane 13. Nøgletal'!C20</f>
        <v>189685.70230607441</v>
      </c>
      <c r="H6" s="14" t="s">
        <v>3</v>
      </c>
      <c r="I6" s="1"/>
    </row>
    <row r="7" spans="1:9" x14ac:dyDescent="0.35">
      <c r="A7" s="1"/>
      <c r="B7" s="66"/>
      <c r="C7" s="67"/>
      <c r="D7" s="67"/>
      <c r="E7" s="67"/>
      <c r="F7" s="67"/>
      <c r="G7" s="60"/>
      <c r="H7" s="19"/>
      <c r="I7" s="1"/>
    </row>
    <row r="8" spans="1:9" x14ac:dyDescent="0.35">
      <c r="A8" s="1"/>
      <c r="B8" s="1"/>
      <c r="C8" s="1"/>
      <c r="D8" s="1"/>
      <c r="E8" s="1"/>
      <c r="F8" s="1"/>
      <c r="G8" s="61"/>
      <c r="H8" s="1"/>
      <c r="I8" s="1"/>
    </row>
    <row r="9" spans="1:9" x14ac:dyDescent="0.35">
      <c r="A9" s="1"/>
      <c r="B9" s="124" t="s">
        <v>57</v>
      </c>
      <c r="C9" s="125"/>
      <c r="D9" s="125"/>
      <c r="E9" s="125"/>
      <c r="F9" s="125"/>
      <c r="G9" s="130"/>
      <c r="H9" s="126"/>
      <c r="I9" s="1"/>
    </row>
    <row r="10" spans="1:9" x14ac:dyDescent="0.35">
      <c r="A10" s="1"/>
      <c r="B10" s="127" t="s">
        <v>58</v>
      </c>
      <c r="C10" s="128"/>
      <c r="D10" s="128"/>
      <c r="E10" s="128"/>
      <c r="F10" s="129"/>
      <c r="G10" s="57">
        <f>(G5-G6)*(1+'Fane 13. Nøgletal'!C9)</f>
        <v>20917214.160193492</v>
      </c>
      <c r="H10" s="14" t="s">
        <v>3</v>
      </c>
      <c r="I10" s="1"/>
    </row>
    <row r="11" spans="1:9" x14ac:dyDescent="0.35">
      <c r="A11" s="1"/>
      <c r="B11" s="131" t="s">
        <v>59</v>
      </c>
      <c r="C11" s="132"/>
      <c r="D11" s="132"/>
      <c r="E11" s="132"/>
      <c r="F11" s="133"/>
      <c r="G11" s="62">
        <v>0</v>
      </c>
      <c r="H11" s="14" t="s">
        <v>3</v>
      </c>
      <c r="I11" s="1"/>
    </row>
    <row r="12" spans="1:9" x14ac:dyDescent="0.35">
      <c r="A12" s="1"/>
      <c r="B12" s="127" t="s">
        <v>60</v>
      </c>
      <c r="C12" s="128"/>
      <c r="D12" s="128"/>
      <c r="E12" s="128"/>
      <c r="F12" s="129"/>
      <c r="G12" s="57">
        <f>G10*'Fane 13. Nøgletal'!C20+G11*'Fane 13. Nøgletal'!C21</f>
        <v>190346.6488577608</v>
      </c>
      <c r="H12" s="14" t="s">
        <v>3</v>
      </c>
      <c r="I12" s="1"/>
    </row>
    <row r="13" spans="1:9" x14ac:dyDescent="0.35">
      <c r="A13" s="1"/>
      <c r="B13" s="66"/>
      <c r="C13" s="67"/>
      <c r="D13" s="67"/>
      <c r="E13" s="67"/>
      <c r="F13" s="67"/>
      <c r="G13" s="60"/>
      <c r="H13" s="19"/>
      <c r="I13" s="1"/>
    </row>
    <row r="14" spans="1:9" x14ac:dyDescent="0.35">
      <c r="A14" s="1"/>
      <c r="B14" s="1"/>
      <c r="C14" s="1"/>
      <c r="D14" s="1"/>
      <c r="E14" s="1"/>
      <c r="F14" s="1"/>
      <c r="G14" s="61"/>
      <c r="H14" s="1"/>
      <c r="I14" s="1"/>
    </row>
    <row r="15" spans="1:9" x14ac:dyDescent="0.35">
      <c r="A15" s="1"/>
      <c r="B15" s="124" t="s">
        <v>61</v>
      </c>
      <c r="C15" s="125"/>
      <c r="D15" s="125"/>
      <c r="E15" s="125"/>
      <c r="F15" s="125"/>
      <c r="G15" s="130"/>
      <c r="H15" s="126"/>
      <c r="I15" s="1"/>
    </row>
    <row r="16" spans="1:9" x14ac:dyDescent="0.35">
      <c r="A16" s="1"/>
      <c r="B16" s="127" t="s">
        <v>62</v>
      </c>
      <c r="C16" s="128"/>
      <c r="D16" s="128"/>
      <c r="E16" s="128"/>
      <c r="F16" s="129"/>
      <c r="G16" s="57">
        <f>(G10+G11-G12)*(1+'Fane 13. Nøgletal'!C11)</f>
        <v>21077151.572277304</v>
      </c>
      <c r="H16" s="14" t="s">
        <v>3</v>
      </c>
      <c r="I16" s="1"/>
    </row>
    <row r="17" spans="1:9" x14ac:dyDescent="0.35">
      <c r="A17" s="1"/>
      <c r="B17" s="127" t="s">
        <v>109</v>
      </c>
      <c r="C17" s="128"/>
      <c r="D17" s="128"/>
      <c r="E17" s="128"/>
      <c r="F17" s="129"/>
      <c r="G17" s="57">
        <v>-436791.47363035317</v>
      </c>
      <c r="H17" s="14" t="s">
        <v>3</v>
      </c>
      <c r="I17" s="1"/>
    </row>
    <row r="18" spans="1:9" x14ac:dyDescent="0.35">
      <c r="A18" s="1"/>
      <c r="B18" s="131" t="s">
        <v>63</v>
      </c>
      <c r="C18" s="132"/>
      <c r="D18" s="132"/>
      <c r="E18" s="132"/>
      <c r="F18" s="133"/>
      <c r="G18" s="57">
        <v>20261.873442339995</v>
      </c>
      <c r="H18" s="14" t="s">
        <v>3</v>
      </c>
      <c r="I18" s="1"/>
    </row>
    <row r="19" spans="1:9" x14ac:dyDescent="0.35">
      <c r="A19" s="1"/>
      <c r="B19" s="127" t="s">
        <v>64</v>
      </c>
      <c r="C19" s="128"/>
      <c r="D19" s="128"/>
      <c r="E19" s="128"/>
      <c r="F19" s="129"/>
      <c r="G19" s="57">
        <f>(G16+G17+G18)*'Fane 13. Nøgletal'!C22</f>
        <v>179747.41115717683</v>
      </c>
      <c r="H19" s="14" t="s">
        <v>3</v>
      </c>
      <c r="I19" s="1"/>
    </row>
    <row r="20" spans="1:9" x14ac:dyDescent="0.35">
      <c r="A20" s="1"/>
      <c r="B20" s="66"/>
      <c r="C20" s="67"/>
      <c r="D20" s="67"/>
      <c r="E20" s="67"/>
      <c r="F20" s="67"/>
      <c r="G20" s="60"/>
      <c r="H20" s="19"/>
      <c r="I20" s="1"/>
    </row>
    <row r="21" spans="1:9" x14ac:dyDescent="0.35">
      <c r="A21" s="1"/>
      <c r="B21" s="1"/>
      <c r="C21" s="1"/>
      <c r="D21" s="1"/>
      <c r="E21" s="1"/>
      <c r="F21" s="1"/>
      <c r="G21" s="61"/>
      <c r="H21" s="1"/>
      <c r="I21" s="1"/>
    </row>
    <row r="22" spans="1:9" x14ac:dyDescent="0.35">
      <c r="A22" s="1"/>
      <c r="B22" s="124" t="s">
        <v>65</v>
      </c>
      <c r="C22" s="125"/>
      <c r="D22" s="125"/>
      <c r="E22" s="125"/>
      <c r="F22" s="125"/>
      <c r="G22" s="130"/>
      <c r="H22" s="126"/>
      <c r="I22" s="1"/>
    </row>
    <row r="23" spans="1:9" x14ac:dyDescent="0.35">
      <c r="A23" s="1"/>
      <c r="B23" s="127" t="s">
        <v>66</v>
      </c>
      <c r="C23" s="128"/>
      <c r="D23" s="128"/>
      <c r="E23" s="128"/>
      <c r="F23" s="129"/>
      <c r="G23" s="57">
        <f>(SUM(G16:G18)-G19)*(1+'Fane 13. Nøgletal'!C11)</f>
        <v>20827001.341011867</v>
      </c>
      <c r="H23" s="14" t="s">
        <v>3</v>
      </c>
      <c r="I23" s="1"/>
    </row>
    <row r="24" spans="1:9" x14ac:dyDescent="0.35">
      <c r="A24" s="1"/>
      <c r="B24" s="131" t="s">
        <v>67</v>
      </c>
      <c r="C24" s="132"/>
      <c r="D24" s="132"/>
      <c r="E24" s="132"/>
      <c r="F24" s="133"/>
      <c r="G24" s="57">
        <v>3079662.0991121223</v>
      </c>
      <c r="H24" s="14" t="s">
        <v>3</v>
      </c>
      <c r="I24" s="1"/>
    </row>
    <row r="25" spans="1:9" x14ac:dyDescent="0.35">
      <c r="A25" s="1"/>
      <c r="B25" s="127" t="s">
        <v>68</v>
      </c>
      <c r="C25" s="128"/>
      <c r="D25" s="128"/>
      <c r="E25" s="128"/>
      <c r="F25" s="129"/>
      <c r="G25" s="57">
        <f>G23*'Fane 13. Nøgletal'!C22+G24*'Fane 13. Nøgletal'!C23</f>
        <v>268657.31528158754</v>
      </c>
      <c r="H25" s="14" t="s">
        <v>3</v>
      </c>
      <c r="I25" s="1"/>
    </row>
    <row r="26" spans="1:9" x14ac:dyDescent="0.35">
      <c r="A26" s="1"/>
      <c r="B26" s="66"/>
      <c r="C26" s="67"/>
      <c r="D26" s="67"/>
      <c r="E26" s="67"/>
      <c r="F26" s="67"/>
      <c r="G26" s="60"/>
      <c r="H26" s="19"/>
      <c r="I26" s="1"/>
    </row>
    <row r="27" spans="1:9" x14ac:dyDescent="0.35">
      <c r="A27" s="1"/>
      <c r="B27" s="1"/>
      <c r="C27" s="1"/>
      <c r="D27" s="1"/>
      <c r="E27" s="1"/>
      <c r="F27" s="1"/>
      <c r="G27" s="61"/>
      <c r="H27" s="1"/>
      <c r="I27" s="1"/>
    </row>
    <row r="28" spans="1:9" x14ac:dyDescent="0.35">
      <c r="A28" s="1"/>
      <c r="B28" s="124" t="s">
        <v>130</v>
      </c>
      <c r="C28" s="125"/>
      <c r="D28" s="125"/>
      <c r="E28" s="125"/>
      <c r="F28" s="125"/>
      <c r="G28" s="130"/>
      <c r="H28" s="126"/>
      <c r="I28" s="1"/>
    </row>
    <row r="29" spans="1:9" x14ac:dyDescent="0.35">
      <c r="A29" s="1"/>
      <c r="B29" s="127" t="s">
        <v>69</v>
      </c>
      <c r="C29" s="128"/>
      <c r="D29" s="128"/>
      <c r="E29" s="128"/>
      <c r="F29" s="129"/>
      <c r="G29" s="57">
        <f>(G23+G24-G25)*(1+'Fane 13. Nøgletal'!C13)</f>
        <v>23926389.799565479</v>
      </c>
      <c r="H29" s="14" t="s">
        <v>3</v>
      </c>
      <c r="I29" s="1"/>
    </row>
    <row r="30" spans="1:9" x14ac:dyDescent="0.35">
      <c r="A30" s="1"/>
      <c r="B30" s="127" t="s">
        <v>123</v>
      </c>
      <c r="C30" s="128"/>
      <c r="D30" s="128"/>
      <c r="E30" s="128"/>
      <c r="F30" s="129"/>
      <c r="G30" s="57">
        <v>2084068.6055557199</v>
      </c>
      <c r="H30" s="14" t="s">
        <v>3</v>
      </c>
      <c r="I30" s="1"/>
    </row>
    <row r="31" spans="1:9" x14ac:dyDescent="0.35">
      <c r="A31" s="1"/>
      <c r="B31" s="127" t="s">
        <v>131</v>
      </c>
      <c r="C31" s="128"/>
      <c r="D31" s="128"/>
      <c r="E31" s="128"/>
      <c r="F31" s="129"/>
      <c r="G31" s="57">
        <f>(G29+G30)*'Fane 13. Nøgletal'!C24</f>
        <v>715287.606140833</v>
      </c>
      <c r="H31" s="14" t="s">
        <v>3</v>
      </c>
      <c r="I31" s="1"/>
    </row>
    <row r="32" spans="1:9" x14ac:dyDescent="0.35">
      <c r="A32" s="1"/>
      <c r="B32" s="66"/>
      <c r="C32" s="67"/>
      <c r="D32" s="67"/>
      <c r="E32" s="67"/>
      <c r="F32" s="67"/>
      <c r="G32" s="60"/>
      <c r="H32" s="19"/>
      <c r="I32" s="1"/>
    </row>
    <row r="33" spans="1:9" x14ac:dyDescent="0.35">
      <c r="A33" s="1"/>
      <c r="B33" s="1"/>
      <c r="C33" s="1"/>
      <c r="D33" s="1"/>
      <c r="E33" s="1"/>
      <c r="F33" s="1"/>
      <c r="G33" s="61"/>
      <c r="H33" s="1"/>
      <c r="I33" s="1"/>
    </row>
    <row r="34" spans="1:9" x14ac:dyDescent="0.35">
      <c r="A34" s="1"/>
      <c r="B34" s="124" t="s">
        <v>135</v>
      </c>
      <c r="C34" s="125"/>
      <c r="D34" s="125"/>
      <c r="E34" s="125"/>
      <c r="F34" s="125"/>
      <c r="G34" s="130"/>
      <c r="H34" s="126"/>
      <c r="I34" s="1"/>
    </row>
    <row r="35" spans="1:9" x14ac:dyDescent="0.35">
      <c r="A35" s="1"/>
      <c r="B35" s="127" t="s">
        <v>72</v>
      </c>
      <c r="C35" s="128"/>
      <c r="D35" s="128"/>
      <c r="E35" s="128"/>
      <c r="F35" s="129"/>
      <c r="G35" s="57">
        <f>(G29+G30-G31)*(1+'Fane 13. Nøgletal'!C13)</f>
        <v>25603771.882727928</v>
      </c>
      <c r="H35" s="14" t="s">
        <v>3</v>
      </c>
      <c r="I35" s="1"/>
    </row>
    <row r="36" spans="1:9" x14ac:dyDescent="0.35">
      <c r="A36" s="1"/>
      <c r="B36" s="127" t="s">
        <v>141</v>
      </c>
      <c r="C36" s="128"/>
      <c r="D36" s="128"/>
      <c r="E36" s="128"/>
      <c r="F36" s="129"/>
      <c r="G36" s="57">
        <f>SUM('Fane 3. Omkostninger i ØR2022'!E11)*(1+'Fane 13. Nøgletal'!C14)</f>
        <v>71458.300470210015</v>
      </c>
      <c r="H36" s="14" t="s">
        <v>3</v>
      </c>
      <c r="I36" s="1"/>
    </row>
    <row r="37" spans="1:9" x14ac:dyDescent="0.35">
      <c r="A37" s="1"/>
      <c r="B37" s="127" t="s">
        <v>136</v>
      </c>
      <c r="C37" s="128"/>
      <c r="D37" s="128"/>
      <c r="E37" s="128"/>
      <c r="F37" s="129"/>
      <c r="G37" s="57">
        <f>G35*'Fane 13. Nøgletal'!C24+G36*'Fane 13. Nøgletal'!C25</f>
        <v>705161.30962197715</v>
      </c>
      <c r="H37" s="14" t="s">
        <v>3</v>
      </c>
      <c r="I37" s="1"/>
    </row>
    <row r="38" spans="1:9" x14ac:dyDescent="0.35">
      <c r="A38" s="1"/>
      <c r="B38" s="66"/>
      <c r="C38" s="67"/>
      <c r="D38" s="67"/>
      <c r="E38" s="67"/>
      <c r="F38" s="67"/>
      <c r="G38" s="60"/>
      <c r="H38" s="19"/>
      <c r="I38" s="1"/>
    </row>
    <row r="39" spans="1:9" x14ac:dyDescent="0.35">
      <c r="A39" s="1"/>
      <c r="B39" s="1"/>
      <c r="C39" s="1"/>
      <c r="D39" s="1"/>
      <c r="E39" s="1"/>
      <c r="F39" s="1"/>
      <c r="G39" s="61"/>
      <c r="H39" s="1"/>
      <c r="I39" s="1"/>
    </row>
    <row r="40" spans="1:9" x14ac:dyDescent="0.35">
      <c r="A40" s="1"/>
      <c r="B40" s="124" t="s">
        <v>200</v>
      </c>
      <c r="C40" s="125"/>
      <c r="D40" s="125"/>
      <c r="E40" s="125"/>
      <c r="F40" s="125"/>
      <c r="G40" s="130"/>
      <c r="H40" s="126"/>
      <c r="I40" s="1"/>
    </row>
    <row r="41" spans="1:9" x14ac:dyDescent="0.35">
      <c r="A41" s="1"/>
      <c r="B41" s="127" t="s">
        <v>71</v>
      </c>
      <c r="C41" s="128"/>
      <c r="D41" s="128"/>
      <c r="E41" s="128"/>
      <c r="F41" s="129"/>
      <c r="G41" s="57">
        <f>(G35+G36-G37)*(1+'Fane 13. Nøgletal'!C15)</f>
        <v>25859003.325475473</v>
      </c>
      <c r="H41" s="14" t="s">
        <v>3</v>
      </c>
      <c r="I41" s="1"/>
    </row>
    <row r="42" spans="1:9" x14ac:dyDescent="0.35">
      <c r="A42" s="1"/>
      <c r="B42" s="127" t="s">
        <v>211</v>
      </c>
      <c r="C42" s="128"/>
      <c r="D42" s="128"/>
      <c r="E42" s="128"/>
      <c r="F42" s="129"/>
      <c r="G42" s="62">
        <f>SUM('Fane 2.1. Økonomisk ramme 2023'!C10+'Fane 2.1. Økonomisk ramme 2023'!C12+'Fane 2.1. Økonomisk ramme 2023'!C14)*(1+'Fane 13. Nøgletal'!C15)</f>
        <v>669823.25125391781</v>
      </c>
      <c r="H42" s="14" t="s">
        <v>3</v>
      </c>
      <c r="I42" s="1"/>
    </row>
    <row r="43" spans="1:9" x14ac:dyDescent="0.35">
      <c r="A43" s="1"/>
      <c r="B43" s="127" t="s">
        <v>70</v>
      </c>
      <c r="C43" s="128"/>
      <c r="D43" s="128"/>
      <c r="E43" s="128"/>
      <c r="F43" s="129"/>
      <c r="G43" s="57">
        <f>(G41+G42)*'Fane 13. Nøgletal'!C26</f>
        <v>0</v>
      </c>
      <c r="H43" s="14" t="s">
        <v>3</v>
      </c>
      <c r="I43" s="1"/>
    </row>
    <row r="44" spans="1:9" x14ac:dyDescent="0.35">
      <c r="A44" s="1"/>
      <c r="B44" s="66"/>
      <c r="C44" s="67"/>
      <c r="D44" s="67"/>
      <c r="E44" s="67"/>
      <c r="F44" s="67"/>
      <c r="G44" s="60"/>
      <c r="H44" s="19"/>
      <c r="I44" s="1"/>
    </row>
    <row r="45" spans="1:9" ht="12" customHeight="1" x14ac:dyDescent="0.35">
      <c r="A45" s="1"/>
      <c r="B45" s="1"/>
      <c r="C45" s="1"/>
      <c r="D45" s="1"/>
      <c r="E45" s="1"/>
      <c r="F45" s="1"/>
      <c r="G45" s="61"/>
      <c r="H45" s="1"/>
      <c r="I45" s="1"/>
    </row>
    <row r="46" spans="1:9" x14ac:dyDescent="0.35">
      <c r="A46" s="1"/>
      <c r="B46" s="124" t="s">
        <v>201</v>
      </c>
      <c r="C46" s="125"/>
      <c r="D46" s="125"/>
      <c r="E46" s="125"/>
      <c r="F46" s="125"/>
      <c r="G46" s="130"/>
      <c r="H46" s="126"/>
      <c r="I46" s="1"/>
    </row>
    <row r="47" spans="1:9" x14ac:dyDescent="0.35">
      <c r="A47" s="1"/>
      <c r="B47" s="127" t="s">
        <v>124</v>
      </c>
      <c r="C47" s="128"/>
      <c r="D47" s="128"/>
      <c r="E47" s="128"/>
      <c r="F47" s="129"/>
      <c r="G47" s="57">
        <f>(G41+G42-G43)*(1+'Fane 13. Nøgletal'!C15)</f>
        <v>27473252.80286096</v>
      </c>
      <c r="H47" s="14" t="s">
        <v>3</v>
      </c>
      <c r="I47" s="1"/>
    </row>
    <row r="48" spans="1:9" x14ac:dyDescent="0.35">
      <c r="A48" s="1"/>
      <c r="B48" s="127" t="s">
        <v>125</v>
      </c>
      <c r="C48" s="128"/>
      <c r="D48" s="128"/>
      <c r="E48" s="128"/>
      <c r="F48" s="129"/>
      <c r="G48" s="57">
        <f>(G47)*'Fane 13. Nøgletal'!C26</f>
        <v>0</v>
      </c>
      <c r="H48" s="14" t="s">
        <v>3</v>
      </c>
      <c r="I48" s="1"/>
    </row>
    <row r="49" spans="1:9" x14ac:dyDescent="0.35">
      <c r="A49" s="1"/>
      <c r="B49" s="66"/>
      <c r="C49" s="67"/>
      <c r="D49" s="67"/>
      <c r="E49" s="67"/>
      <c r="F49" s="67"/>
      <c r="G49" s="60"/>
      <c r="H49" s="19"/>
      <c r="I49" s="1"/>
    </row>
    <row r="50" spans="1:9" x14ac:dyDescent="0.35">
      <c r="A50" s="1"/>
      <c r="B50" s="1"/>
      <c r="C50" s="1"/>
      <c r="D50" s="1"/>
      <c r="E50" s="1"/>
      <c r="F50" s="1"/>
      <c r="G50" s="61"/>
      <c r="H50" s="1"/>
      <c r="I50" s="1"/>
    </row>
    <row r="51" spans="1:9" x14ac:dyDescent="0.35">
      <c r="A51" s="1"/>
      <c r="B51" s="124" t="s">
        <v>142</v>
      </c>
      <c r="C51" s="125"/>
      <c r="D51" s="125"/>
      <c r="E51" s="125"/>
      <c r="F51" s="125"/>
      <c r="G51" s="130"/>
      <c r="H51" s="126"/>
      <c r="I51" s="1"/>
    </row>
    <row r="52" spans="1:9" x14ac:dyDescent="0.35">
      <c r="A52" s="1"/>
      <c r="B52" s="127" t="s">
        <v>143</v>
      </c>
      <c r="C52" s="128"/>
      <c r="D52" s="128"/>
      <c r="E52" s="128"/>
      <c r="F52" s="129"/>
      <c r="G52" s="57">
        <f>(G47-G48)*(1+'Fane 13. Nøgletal'!C15)</f>
        <v>28451300.602642812</v>
      </c>
      <c r="H52" s="14" t="s">
        <v>3</v>
      </c>
      <c r="I52" s="1"/>
    </row>
    <row r="53" spans="1:9" x14ac:dyDescent="0.35">
      <c r="A53" s="1"/>
      <c r="B53" s="127" t="s">
        <v>144</v>
      </c>
      <c r="C53" s="128"/>
      <c r="D53" s="128"/>
      <c r="E53" s="128"/>
      <c r="F53" s="129"/>
      <c r="G53" s="57">
        <f>(G52)*'Fane 13. Nøgletal'!C26</f>
        <v>0</v>
      </c>
      <c r="H53" s="14" t="s">
        <v>3</v>
      </c>
      <c r="I53" s="1"/>
    </row>
    <row r="54" spans="1:9" x14ac:dyDescent="0.35">
      <c r="A54" s="1"/>
      <c r="B54" s="66"/>
      <c r="C54" s="67"/>
      <c r="D54" s="67"/>
      <c r="E54" s="67"/>
      <c r="F54" s="67"/>
      <c r="G54" s="60"/>
      <c r="H54" s="19"/>
      <c r="I54" s="1"/>
    </row>
    <row r="55" spans="1:9" x14ac:dyDescent="0.35">
      <c r="A55" s="1"/>
      <c r="B55" s="1"/>
      <c r="C55" s="1"/>
      <c r="D55" s="1"/>
      <c r="E55" s="1"/>
      <c r="F55" s="1"/>
      <c r="G55" s="61"/>
      <c r="H55" s="1"/>
      <c r="I55" s="1"/>
    </row>
    <row r="56" spans="1:9" x14ac:dyDescent="0.35">
      <c r="A56" s="1"/>
      <c r="B56" s="124" t="s">
        <v>177</v>
      </c>
      <c r="C56" s="125"/>
      <c r="D56" s="125"/>
      <c r="E56" s="125"/>
      <c r="F56" s="125"/>
      <c r="G56" s="130"/>
      <c r="H56" s="126"/>
      <c r="I56" s="1"/>
    </row>
    <row r="57" spans="1:9" x14ac:dyDescent="0.35">
      <c r="A57" s="1"/>
      <c r="B57" s="127" t="s">
        <v>178</v>
      </c>
      <c r="C57" s="128"/>
      <c r="D57" s="128"/>
      <c r="E57" s="128"/>
      <c r="F57" s="129"/>
      <c r="G57" s="57">
        <f>(G52-G53)*(1+'Fane 13. Nøgletal'!C15)</f>
        <v>29464166.904096898</v>
      </c>
      <c r="H57" s="14" t="s">
        <v>3</v>
      </c>
      <c r="I57" s="1"/>
    </row>
    <row r="58" spans="1:9" x14ac:dyDescent="0.35">
      <c r="A58" s="1"/>
      <c r="B58" s="127" t="s">
        <v>179</v>
      </c>
      <c r="C58" s="128"/>
      <c r="D58" s="128"/>
      <c r="E58" s="128"/>
      <c r="F58" s="129"/>
      <c r="G58" s="57">
        <f>(G57)*'Fane 13. Nøgletal'!C26</f>
        <v>0</v>
      </c>
      <c r="H58" s="14" t="s">
        <v>3</v>
      </c>
      <c r="I58" s="1"/>
    </row>
    <row r="59" spans="1:9" x14ac:dyDescent="0.35">
      <c r="A59" s="1"/>
      <c r="B59" s="66"/>
      <c r="C59" s="67"/>
      <c r="D59" s="67"/>
      <c r="E59" s="67"/>
      <c r="F59" s="67"/>
      <c r="G59" s="67"/>
      <c r="H59" s="19"/>
      <c r="I59" s="1"/>
    </row>
    <row r="60" spans="1:9" x14ac:dyDescent="0.35">
      <c r="A60" s="1"/>
      <c r="B60" s="1"/>
      <c r="C60" s="1"/>
      <c r="D60" s="1"/>
      <c r="E60" s="1"/>
      <c r="F60" s="1"/>
      <c r="G60" s="1"/>
      <c r="H60" s="1"/>
      <c r="I60" s="1"/>
    </row>
    <row r="61" spans="1:9" x14ac:dyDescent="0.35">
      <c r="A61" s="1"/>
      <c r="B61" s="1"/>
      <c r="C61" s="1"/>
      <c r="D61" s="1"/>
      <c r="E61" s="1"/>
      <c r="F61" s="1"/>
      <c r="G61" s="1"/>
      <c r="H61" s="1"/>
      <c r="I61" s="1"/>
    </row>
    <row r="62" spans="1:9" x14ac:dyDescent="0.35">
      <c r="A62" s="1"/>
      <c r="B62" s="1"/>
      <c r="C62" s="1"/>
      <c r="D62" s="1"/>
      <c r="E62" s="1"/>
      <c r="F62" s="1"/>
      <c r="G62" s="1"/>
      <c r="H62" s="1"/>
      <c r="I62" s="1"/>
    </row>
    <row r="63" spans="1:9" x14ac:dyDescent="0.35">
      <c r="A63" s="1"/>
      <c r="B63" s="1"/>
      <c r="C63" s="1"/>
      <c r="D63" s="1"/>
      <c r="E63" s="1"/>
      <c r="F63" s="1"/>
      <c r="G63" s="1"/>
      <c r="H63" s="1"/>
      <c r="I63" s="1"/>
    </row>
    <row r="64" spans="1:9" x14ac:dyDescent="0.35">
      <c r="A64" s="1"/>
      <c r="B64" s="1"/>
      <c r="C64" s="1"/>
      <c r="D64" s="1"/>
      <c r="E64" s="1"/>
      <c r="F64" s="1"/>
      <c r="G64" s="1"/>
      <c r="H64" s="1"/>
      <c r="I64" s="1"/>
    </row>
    <row r="65" spans="1:9" x14ac:dyDescent="0.35">
      <c r="A65" s="1"/>
      <c r="B65" s="1"/>
      <c r="C65" s="1"/>
      <c r="D65" s="1"/>
      <c r="E65" s="1"/>
      <c r="F65" s="1"/>
      <c r="G65" s="1"/>
      <c r="H65" s="1"/>
      <c r="I65" s="1"/>
    </row>
  </sheetData>
  <sheetProtection algorithmName="SHA-512" hashValue="24Zbthhe0z3QMYJ36YnJknA4OsSm797qDBW+kTryTj1KgivkF4SxWlUfmrNlRwIoEdRmmgWgimQ2QMhms4g36w==" saltValue="7doC8IvSi7ujlphFzVkgmQ=="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49"/>
  <sheetViews>
    <sheetView showGridLines="0" view="pageLayout" zoomScaleNormal="100" workbookViewId="0"/>
  </sheetViews>
  <sheetFormatPr defaultColWidth="9" defaultRowHeight="14.5" x14ac:dyDescent="0.35"/>
  <cols>
    <col min="1" max="1" width="7.81640625" style="2" customWidth="1"/>
    <col min="2" max="5" width="9" style="2"/>
    <col min="6" max="6" width="19.81640625" style="2" customWidth="1"/>
    <col min="7" max="7" width="10.26953125" style="2" customWidth="1"/>
    <col min="8" max="8" width="7.81640625" style="2" customWidth="1"/>
    <col min="9" max="16384" width="9"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101" t="s">
        <v>82</v>
      </c>
      <c r="C3" s="101"/>
      <c r="D3" s="101"/>
      <c r="E3" s="101"/>
      <c r="F3" s="101"/>
      <c r="G3" s="101"/>
      <c r="H3" s="1"/>
    </row>
    <row r="4" spans="1:8" ht="15" customHeight="1" x14ac:dyDescent="0.35">
      <c r="A4" s="1"/>
      <c r="B4" s="101"/>
      <c r="C4" s="101"/>
      <c r="D4" s="101"/>
      <c r="E4" s="101"/>
      <c r="F4" s="101"/>
      <c r="G4" s="101"/>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24" t="s">
        <v>9</v>
      </c>
      <c r="C8" s="125"/>
      <c r="D8" s="125"/>
      <c r="E8" s="125"/>
      <c r="F8" s="125"/>
      <c r="G8" s="125"/>
      <c r="H8" s="1"/>
    </row>
    <row r="9" spans="1:8" x14ac:dyDescent="0.35">
      <c r="A9" s="1"/>
      <c r="B9" s="75" t="s">
        <v>180</v>
      </c>
      <c r="C9" s="76"/>
      <c r="D9" s="76"/>
      <c r="E9" s="76"/>
      <c r="F9" s="77"/>
      <c r="G9" s="28">
        <v>0.02</v>
      </c>
      <c r="H9" s="1"/>
    </row>
    <row r="10" spans="1:8" x14ac:dyDescent="0.35">
      <c r="A10" s="1"/>
      <c r="B10" s="66"/>
      <c r="C10" s="67"/>
      <c r="D10" s="67"/>
      <c r="E10" s="67"/>
      <c r="F10" s="67"/>
      <c r="G10" s="67"/>
      <c r="H10" s="1"/>
    </row>
    <row r="11" spans="1:8" x14ac:dyDescent="0.35">
      <c r="A11" s="1"/>
      <c r="B11" s="1"/>
      <c r="C11" s="1"/>
      <c r="D11" s="1"/>
      <c r="E11" s="1"/>
      <c r="F11" s="1"/>
      <c r="G11" s="1"/>
      <c r="H11" s="1"/>
    </row>
    <row r="12" spans="1:8" ht="31.5" customHeight="1" x14ac:dyDescent="0.35">
      <c r="A12" s="1"/>
      <c r="B12" s="137" t="s">
        <v>202</v>
      </c>
      <c r="C12" s="137"/>
      <c r="D12" s="137"/>
      <c r="E12" s="137"/>
      <c r="F12" s="137"/>
      <c r="G12" s="137"/>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row r="49" spans="1:8" x14ac:dyDescent="0.35">
      <c r="A49" s="1"/>
      <c r="B49" s="1"/>
      <c r="C49" s="1"/>
      <c r="D49" s="1"/>
      <c r="E49" s="1"/>
      <c r="F49" s="1"/>
      <c r="G49" s="1"/>
      <c r="H49" s="1"/>
    </row>
  </sheetData>
  <sheetProtection algorithmName="SHA-512" hashValue="1RIfxsqoR2e8vkhNml9WqA4ZILi9lFodC9dXun3wDnqqHCJIZcqLEWgJ1fjL/zXY4FZVxrWDpEdKxQizbK49dg==" saltValue="6Ud8Q0cojDvvJUxswoZcW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2023-09-13T20:17:29Z</dcterms:modified>
</cp:coreProperties>
</file>