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ALSNÆS VAND AS (V074)\ØR2023\"/>
    </mc:Choice>
  </mc:AlternateContent>
  <xr:revisionPtr revIDLastSave="0" documentId="13_ncr:1_{71D36340-392D-4D3B-8751-0BA04163B0B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15" i="7" l="1"/>
  <c r="E13" i="10" l="1"/>
  <c r="C13" i="10"/>
  <c r="E14" i="6" l="1"/>
  <c r="E27" i="6" l="1"/>
  <c r="E17" i="5"/>
  <c r="E17" i="4"/>
  <c r="E17" i="3"/>
  <c r="E26" i="2"/>
  <c r="G18" i="15" l="1"/>
  <c r="E16" i="8" l="1"/>
  <c r="E15" i="8"/>
  <c r="E24" i="8" l="1"/>
  <c r="E28" i="8" s="1"/>
  <c r="E30" i="8" s="1"/>
  <c r="E24" i="2" l="1"/>
  <c r="E15" i="3"/>
  <c r="C11" i="12"/>
  <c r="E11" i="12"/>
  <c r="E10" i="11"/>
  <c r="C10" i="11"/>
  <c r="H11" i="9"/>
  <c r="J11" i="9"/>
  <c r="F10" i="9" l="1"/>
  <c r="F11" i="9" s="1"/>
  <c r="E12" i="12"/>
  <c r="C12" i="12"/>
  <c r="E12" i="2" l="1"/>
  <c r="E11" i="11"/>
  <c r="C11" i="11"/>
  <c r="C10" i="10" l="1"/>
  <c r="C16" i="7"/>
  <c r="C14" i="10" l="1"/>
  <c r="E13" i="5"/>
  <c r="E13" i="4"/>
  <c r="E13" i="3"/>
  <c r="E22" i="6"/>
  <c r="E15" i="6" l="1"/>
  <c r="E16" i="6" s="1"/>
  <c r="E9" i="2" l="1"/>
  <c r="E28" i="6"/>
  <c r="E12" i="13"/>
  <c r="E13" i="13" s="1"/>
  <c r="C12" i="13"/>
  <c r="C13" i="13" s="1"/>
  <c r="E11" i="2" l="1"/>
  <c r="E19" i="2" l="1"/>
  <c r="E20" i="2"/>
  <c r="E21" i="2" l="1"/>
  <c r="E22" i="2" s="1"/>
  <c r="E17" i="2" l="1"/>
  <c r="E10" i="10" l="1"/>
  <c r="E14" i="10" l="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<sst xmlns="http://schemas.openxmlformats.org/spreadsheetml/2006/main" count="329" uniqueCount="156">
  <si>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</si>
  <si>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</si>
  <si>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</si>
  <si>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</si>
  <si>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</si>
  <si>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</si>
  <si>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</si>
  <si>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</si>
  <si>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</si>
  <si>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</si>
  <si>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</si>
  <si>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</si>
  <si>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</si>
  <si>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</si>
  <si>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</si>
  <si>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</si>
  <si>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</si>
  <si>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</si>
  <si>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</si>
  <si>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</si>
  <si>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</si>
  <si>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</si>
  <si>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</si>
  <si>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</si>
  <si>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</si>
  <si>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</si>
  <si>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</si>
  <si>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</si>
  <si>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</si>
  <si>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</si>
  <si>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</si>
  <si>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</si>
  <si>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</si>
  <si>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</si>
  <si>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</si>
  <si>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</si>
  <si>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</si>
  <si>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</si>
  <si>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</si>
  <si>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</si>
  <si>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</si>
  <si>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</si>
  <si>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</si>
  <si>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</si>
  <si>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</si>
  <si>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</si>
  <si>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</si>
  <si>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</si>
  <si>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</si>
  <si>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</si>
  <si>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</si>
  <si>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</si>
  <si>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</si>
  <si>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</si>
  <si>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</si>
  <si>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</si>
  <si>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</si>
  <si>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</si>
  <si>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</si>
  <si>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</si>
  <si>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</si>
  <si>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</si>
  <si>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</si>
  <si>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</si>
  <si>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</si>
  <si>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</si>
  <si>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</si>
  <si>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</si>
  <si>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</si>
  <si>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</si>
  <si>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</si>
  <si>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</si>
  <si>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</si>
  <si>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</si>
  <si>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</si>
  <si>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</si>
  <si>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</si>
  <si>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</si>
  <si>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</si>
  <si>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</si>
  <si>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</si>
  <si>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</si>
  <si>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</si>
  <si>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</si>
  <si>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</si>
  <si>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</si>
  <si>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</si>
  <si>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</si>
  <si>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</si>
  <si>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</si>
  <si>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</si>
  <si>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</si>
  <si>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</si>
  <si>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</si>
  <si>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</si>
  <si>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</si>
  <si>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</si>
  <si>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</si>
  <si>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</si>
  <si>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</si>
  <si>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</si>
  <si>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</si>
  <si>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</si>
  <si>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</si>
  <si>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</si>
  <si>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</si>
  <si>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</si>
  <si>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</si>
  <si>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</si>
  <si>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</si>
  <si>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</si>
  <si>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</si>
  <si>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</si>
  <si>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</si>
  <si>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</si>
  <si>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</si>
  <si>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</si>
  <si>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</si>
  <si>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</si>
  <si>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</si>
  <si>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67</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</si>
  <si>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</si>
  <si>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</si>
  <si>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</si>
  <si>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</si>
  <si>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</si>
  <si>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</si>
  <si>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</si>
  <si>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</si>
  <si>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</si>
  <si>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Køb af ydelser og produkter fra andre vandselskaber reguleret af vandsektorloven</t>
  </si>
  <si>
    <t>Ejendomsskat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</si>
  <si>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</si>
  <si>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</si>
  <si>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</si>
  <si>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</si>
  <si>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</si>
  <si>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</si>
  <si>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tilknyttet virksomhed under hovedvirksomheden</t>
  </si>
  <si>
    <t>Ingen bortfald eller nedsættelse</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</si>
  <si>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</si>
  <si>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</si>
  <si>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</si>
  <si>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</si>
  <si>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</si>
  <si>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</si>
  <si>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</si>
  <si>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</si>
  <si>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</si>
  <si>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</si>
  <si>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</si>
  <si>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</si>
  <si>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</si>
  <si>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</si>
  <si>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Ingen engangstillæg</t>
  </si>
  <si>
    <t>Fusion -  St. Havelse Strand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</si>
</sst>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2000000}"/>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49"/>
  <sheetViews>
    <sheetView showGridLines="0" tabSelected="1" view="pageLayout" zoomScale="87" zoomScaleNormal="100" zoomScalePageLayoutView="87" workbookViewId="0">
      <selection activeCell="D6" sqref="D6:G7"/>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9" width="6.57031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105</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78</v>
      </c>
      <c r="E13" s="77"/>
      <c r="F13" s="77"/>
      <c r="G13" s="78"/>
      <c r="H13" s="1"/>
      <c r="I13" s="1"/>
    </row>
    <row r="14" spans="1:9" x14ac:dyDescent="0.25">
      <c r="A14" s="1"/>
      <c r="B14" s="1"/>
      <c r="C14" s="6" t="s">
        <v>14</v>
      </c>
      <c r="D14" s="76" t="s">
        <v>110</v>
      </c>
      <c r="E14" s="77"/>
      <c r="F14" s="77"/>
      <c r="G14" s="78"/>
      <c r="H14" s="1"/>
      <c r="I14" s="1"/>
    </row>
    <row r="15" spans="1:9" x14ac:dyDescent="0.25">
      <c r="A15" s="1"/>
      <c r="B15" s="1"/>
      <c r="C15" s="6" t="s">
        <v>28</v>
      </c>
      <c r="D15" s="76" t="s">
        <v>64</v>
      </c>
      <c r="E15" s="77"/>
      <c r="F15" s="77"/>
      <c r="G15" s="78"/>
      <c r="H15" s="1"/>
      <c r="I15" s="1"/>
    </row>
    <row r="16" spans="1:9" x14ac:dyDescent="0.25">
      <c r="A16" s="1"/>
      <c r="B16" s="1"/>
      <c r="C16" s="6" t="s">
        <v>29</v>
      </c>
      <c r="D16" s="76" t="s">
        <v>79</v>
      </c>
      <c r="E16" s="77"/>
      <c r="F16" s="77"/>
      <c r="G16" s="78"/>
      <c r="H16" s="1"/>
      <c r="I16" s="1"/>
    </row>
    <row r="17" spans="1:9" x14ac:dyDescent="0.25">
      <c r="A17" s="1"/>
      <c r="B17" s="1"/>
      <c r="C17" s="6" t="s">
        <v>49</v>
      </c>
      <c r="D17" s="76" t="s">
        <v>80</v>
      </c>
      <c r="E17" s="77"/>
      <c r="F17" s="77"/>
      <c r="G17" s="78"/>
      <c r="H17" s="1"/>
      <c r="I17" s="1"/>
    </row>
    <row r="18" spans="1:9" x14ac:dyDescent="0.25">
      <c r="A18" s="1"/>
      <c r="B18" s="1"/>
      <c r="C18" s="6" t="s">
        <v>7</v>
      </c>
      <c r="D18" s="88" t="s">
        <v>11</v>
      </c>
      <c r="E18" s="89"/>
      <c r="F18" s="89"/>
      <c r="G18" s="90"/>
      <c r="H18" s="1"/>
      <c r="I18" s="1"/>
    </row>
    <row r="19" spans="1:9" x14ac:dyDescent="0.25">
      <c r="A19" s="1"/>
      <c r="B19" s="1"/>
      <c r="C19" s="6" t="s">
        <v>8</v>
      </c>
      <c r="D19" s="80" t="s">
        <v>81</v>
      </c>
      <c r="E19" s="81"/>
      <c r="F19" s="81"/>
      <c r="G19" s="82"/>
      <c r="H19" s="1"/>
      <c r="I19" s="1"/>
    </row>
    <row r="20" spans="1:9" x14ac:dyDescent="0.25">
      <c r="A20" s="1"/>
      <c r="B20" s="1"/>
      <c r="C20" s="6" t="s">
        <v>46</v>
      </c>
      <c r="D20" s="80" t="s">
        <v>113</v>
      </c>
      <c r="E20" s="81"/>
      <c r="F20" s="81"/>
      <c r="G20" s="82"/>
      <c r="H20" s="1"/>
      <c r="I20" s="1"/>
    </row>
    <row r="21" spans="1:9" x14ac:dyDescent="0.25">
      <c r="A21" s="1"/>
      <c r="B21" s="1"/>
      <c r="C21" s="6" t="s">
        <v>120</v>
      </c>
      <c r="D21" s="80" t="s">
        <v>108</v>
      </c>
      <c r="E21" s="81"/>
      <c r="F21" s="81"/>
      <c r="G21" s="82"/>
      <c r="H21" s="1"/>
      <c r="I21" s="1"/>
    </row>
    <row r="22" spans="1:9" x14ac:dyDescent="0.25">
      <c r="A22" s="1"/>
      <c r="B22" s="1"/>
      <c r="C22" s="6" t="s">
        <v>121</v>
      </c>
      <c r="D22" s="80" t="s">
        <v>35</v>
      </c>
      <c r="E22" s="81"/>
      <c r="F22" s="81"/>
      <c r="G22" s="82"/>
      <c r="H22" s="1"/>
      <c r="I22" s="1"/>
    </row>
    <row r="23" spans="1:9" x14ac:dyDescent="0.25">
      <c r="A23" s="1"/>
      <c r="B23" s="1"/>
      <c r="C23" s="6" t="s">
        <v>122</v>
      </c>
      <c r="D23" s="80" t="s">
        <v>36</v>
      </c>
      <c r="E23" s="81"/>
      <c r="F23" s="81"/>
      <c r="G23" s="82"/>
      <c r="H23" s="1"/>
      <c r="I23" s="1"/>
    </row>
    <row r="24" spans="1:9" x14ac:dyDescent="0.25">
      <c r="A24" s="1"/>
      <c r="B24" s="1"/>
      <c r="C24" s="6" t="s">
        <v>9</v>
      </c>
      <c r="D24" s="80" t="s">
        <v>53</v>
      </c>
      <c r="E24" s="81"/>
      <c r="F24" s="81"/>
      <c r="G24" s="82"/>
      <c r="H24" s="1"/>
      <c r="I24" s="1"/>
    </row>
    <row r="25" spans="1:9" x14ac:dyDescent="0.25">
      <c r="A25" s="1"/>
      <c r="B25" s="1"/>
      <c r="C25" s="6" t="s">
        <v>41</v>
      </c>
      <c r="D25" s="80" t="s">
        <v>30</v>
      </c>
      <c r="E25" s="81"/>
      <c r="F25" s="81"/>
      <c r="G25" s="82"/>
      <c r="H25" s="1"/>
      <c r="I25" s="1"/>
    </row>
    <row r="26" spans="1:9" x14ac:dyDescent="0.25">
      <c r="A26" s="1"/>
      <c r="B26" s="1"/>
      <c r="C26" s="6" t="s">
        <v>123</v>
      </c>
      <c r="D26" s="85" t="s">
        <v>47</v>
      </c>
      <c r="E26" s="86"/>
      <c r="F26" s="86"/>
      <c r="G26" s="87"/>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sM5VCBWAgX+7Jlc0j/wrWc8bSJ1vE7P8czYOY7nQD6xJxXItcxcryIVV8IB6iKMUfl5OGV9yvdLK/z9Nyas+SA==" saltValue="iZgLYKE2rP1JN0uAqjAx/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xr:uid="{00000000-0004-0000-0000-000000000000}"/>
    <hyperlink ref="D22:G22" location="'Fane 8.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18:G18" location="'Fane 4. Ikke-påvirkelige omk.'!A1" display="Ikke-påvirkelige omkostninger" xr:uid="{00000000-0004-0000-0000-000007000000}"/>
    <hyperlink ref="D19:G19" location="'Fane 5. Kontrol af ØR2021'!A1" display="Kontrol af den økonomiske ramme for 2021" xr:uid="{00000000-0004-0000-0000-000008000000}"/>
    <hyperlink ref="D26:G26" location="'Fane 11. Nøgletal'!A1" display="Nøgletal" xr:uid="{00000000-0004-0000-0000-000009000000}"/>
    <hyperlink ref="D17:G17" location="'Fane 3. Omkostninger i ØR2022'!A1" display="Omkostninger i ØR2022"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114</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101</v>
      </c>
      <c r="C8" s="113"/>
      <c r="D8" s="113"/>
      <c r="E8" s="113"/>
      <c r="F8" s="113"/>
      <c r="G8" s="113"/>
      <c r="H8" s="113"/>
      <c r="I8" s="113"/>
      <c r="J8" s="113"/>
      <c r="K8" s="114"/>
      <c r="L8" s="1"/>
    </row>
    <row r="9" spans="1:12" ht="39.75" customHeight="1" x14ac:dyDescent="0.25">
      <c r="A9" s="1"/>
      <c r="B9" s="49" t="s">
        <v>0</v>
      </c>
      <c r="C9" s="16" t="s">
        <v>1</v>
      </c>
      <c r="D9" s="128" t="s">
        <v>111</v>
      </c>
      <c r="E9" s="129"/>
      <c r="F9" s="128" t="s">
        <v>2</v>
      </c>
      <c r="G9" s="129"/>
      <c r="H9" s="128" t="s">
        <v>112</v>
      </c>
      <c r="I9" s="129"/>
      <c r="J9" s="128" t="s">
        <v>23</v>
      </c>
      <c r="K9" s="129"/>
      <c r="L9" s="1"/>
    </row>
    <row r="10" spans="1:12" x14ac:dyDescent="0.25">
      <c r="A10" s="1"/>
      <c r="B10" s="57" t="s">
        <v>136</v>
      </c>
      <c r="C10" s="30">
        <v>0</v>
      </c>
      <c r="D10" s="8">
        <v>0</v>
      </c>
      <c r="E10" s="12" t="s">
        <v>3</v>
      </c>
      <c r="F10" s="8">
        <f>IFERROR(D10/C10,0)</f>
        <v>0</v>
      </c>
      <c r="G10" s="12" t="s">
        <v>3</v>
      </c>
      <c r="H10" s="8">
        <v>0</v>
      </c>
      <c r="I10" s="12" t="s">
        <v>3</v>
      </c>
      <c r="J10" s="8">
        <v>0</v>
      </c>
      <c r="K10" s="12" t="s">
        <v>3</v>
      </c>
      <c r="L10" s="1"/>
    </row>
    <row r="11" spans="1:12" x14ac:dyDescent="0.25">
      <c r="A11" s="1"/>
      <c r="B11" s="65" t="s">
        <v>102</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heczQAQP6Gd+OKQWTlwawGBcQ3HymFo8dXIi5aeK5gzPK1pog75rqqferserHAyuiWUqPZIMpQobaLL8NqYUMg==" saltValue="s11BMB/LtlWS5npgy5few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0"/>
  <sheetViews>
    <sheetView showGridLines="0" view="pageLayout" zoomScaleNormal="100" workbookViewId="0">
      <selection activeCell="B3" sqref="B3:F4"/>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115</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3" t="s">
        <v>15</v>
      </c>
      <c r="C9" s="63" t="s">
        <v>10</v>
      </c>
      <c r="D9" s="64"/>
      <c r="E9" s="63" t="s">
        <v>24</v>
      </c>
      <c r="F9" s="73"/>
      <c r="G9" s="1"/>
    </row>
    <row r="10" spans="1:7" x14ac:dyDescent="0.25">
      <c r="A10" s="1"/>
      <c r="B10" s="20" t="s">
        <v>137</v>
      </c>
      <c r="C10" s="19">
        <f>'Fane 7. Anlægsprojekter (§ 19)'!H11</f>
        <v>0</v>
      </c>
      <c r="D10" s="12" t="s">
        <v>3</v>
      </c>
      <c r="E10" s="8">
        <f>SUM('Fane 7. Anlægsprojekter (§ 19)'!F11,'Fane 7. Anlægsprojekter (§ 19)'!J11)</f>
        <v>0</v>
      </c>
      <c r="F10" s="12" t="s">
        <v>3</v>
      </c>
      <c r="G10" s="1"/>
    </row>
    <row r="11" spans="1:7" x14ac:dyDescent="0.25">
      <c r="A11" s="1"/>
      <c r="B11" s="20" t="s">
        <v>140</v>
      </c>
      <c r="C11" s="19">
        <v>10028</v>
      </c>
      <c r="D11" s="12" t="s">
        <v>3</v>
      </c>
      <c r="E11" s="8">
        <v>3053</v>
      </c>
      <c r="F11" s="12" t="s">
        <v>3</v>
      </c>
      <c r="G11" s="1"/>
    </row>
    <row r="12" spans="1:7" x14ac:dyDescent="0.25">
      <c r="A12" s="1"/>
      <c r="B12" s="20" t="s">
        <v>155</v>
      </c>
      <c r="C12" s="19">
        <v>1259163</v>
      </c>
      <c r="D12" s="12" t="s">
        <v>3</v>
      </c>
      <c r="E12" s="8">
        <v>573304.86175417306</v>
      </c>
      <c r="F12" s="12" t="s">
        <v>3</v>
      </c>
      <c r="G12" s="1"/>
    </row>
    <row r="13" spans="1:7" x14ac:dyDescent="0.25">
      <c r="A13" s="1"/>
      <c r="B13" s="74" t="s">
        <v>67</v>
      </c>
      <c r="C13" s="10">
        <f>SUM(C10:C12)</f>
        <v>1269191</v>
      </c>
      <c r="D13" s="11" t="s">
        <v>3</v>
      </c>
      <c r="E13" s="10">
        <f>SUM(E10:E12)</f>
        <v>576357.86175417306</v>
      </c>
      <c r="F13" s="11" t="s">
        <v>3</v>
      </c>
      <c r="G13" s="1"/>
    </row>
    <row r="14" spans="1:7" x14ac:dyDescent="0.25">
      <c r="A14" s="1"/>
      <c r="B14" s="74" t="s">
        <v>98</v>
      </c>
      <c r="C14" s="10">
        <f>C13*(1+'Fane 11. Nøgletal'!C15)</f>
        <v>1314374.1996000002</v>
      </c>
      <c r="D14" s="11" t="s">
        <v>3</v>
      </c>
      <c r="E14" s="10">
        <f>E13*(1+'Fane 11. Nøgletal'!C15)</f>
        <v>596876.2016326217</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B50" s="1"/>
      <c r="C50" s="1"/>
      <c r="D50" s="1"/>
      <c r="E50" s="1"/>
      <c r="F50" s="1"/>
    </row>
  </sheetData>
  <sheetProtection algorithmName="SHA-512" hashValue="RGafGii0Q4CmwX7S0AsGPsWB6FCHNtguUA4V4GkxjOufOILYl1g4JXJkNH33pZRWHKhHIABGqvlVf91kA5I8sA==" saltValue="WX6RPsrfnSZE6Ij5kYiXU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3" t="s">
        <v>15</v>
      </c>
      <c r="C8" s="63" t="s">
        <v>10</v>
      </c>
      <c r="D8" s="64"/>
      <c r="E8" s="63" t="s">
        <v>24</v>
      </c>
      <c r="F8" s="73"/>
      <c r="G8" s="1"/>
    </row>
    <row r="9" spans="1:7" x14ac:dyDescent="0.25">
      <c r="A9" s="1"/>
      <c r="B9" s="20" t="s">
        <v>154</v>
      </c>
      <c r="C9" s="19">
        <v>0</v>
      </c>
      <c r="D9" s="12" t="s">
        <v>3</v>
      </c>
      <c r="E9" s="19">
        <v>0</v>
      </c>
      <c r="F9" s="12" t="s">
        <v>3</v>
      </c>
      <c r="G9" s="1"/>
    </row>
    <row r="10" spans="1:7" x14ac:dyDescent="0.25">
      <c r="A10" s="1"/>
      <c r="B10" s="74" t="s">
        <v>107</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YrZcmMJDt4ymWKWfEfS3+ErAf7zh/9lNTU04JNdDvsOZ33fyfkBw5o/Edbk03eRq7jnxYkAORC8N3UfJrJQ2QQ==" saltValue="Z4K+I81XoI+mFi/I1iUaO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138</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3f1Mqc6PN0NysK8uD2JvP+/fHKee7QE1ptgVIbaOH9GabOGnkxQh0iVQAx+eN9i0QFc1LivRC/8poCpIXByptg==" saltValue="xKxWgBF+yWkFyYAAIq0jV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139</v>
      </c>
      <c r="C11" s="8">
        <v>0</v>
      </c>
      <c r="D11" s="12" t="s">
        <v>3</v>
      </c>
      <c r="E11" s="8">
        <v>0</v>
      </c>
      <c r="F11" s="12" t="s">
        <v>3</v>
      </c>
      <c r="G11" s="1"/>
    </row>
    <row r="12" spans="1:7" x14ac:dyDescent="0.25">
      <c r="A12" s="1"/>
      <c r="B12" s="74" t="s">
        <v>104</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mn1MGndx2kgoiDaeu4a9DVaYpeoKmdRwHt5esW6VVTzzA8YucUStXKZVI3N87q74+v3BcSPgDhuwlcoorucnUw==" saltValue="bYm/cHiakiQPXn+txpQRN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25.5" customHeight="1" x14ac:dyDescent="0.25">
      <c r="A4" s="1"/>
      <c r="B4" s="107"/>
      <c r="C4" s="10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jNz9EzWYAuqGZTKCh5Y11EuftfgaI9wyhVOs0LQyFUMbDmNlJtEsXfBlHTFIJv/3NTUB4lLOlacZ2lVzP2Ly4g==" saltValue="barVcFem+wX7MXbS+8YKt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election activeCell="B3" sqref="B3:F4"/>
    </sheetView>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82</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12</v>
      </c>
      <c r="C8" s="58"/>
      <c r="D8" s="58"/>
      <c r="E8" s="58"/>
      <c r="F8" s="58"/>
      <c r="G8" s="1"/>
    </row>
    <row r="9" spans="1:7" x14ac:dyDescent="0.25">
      <c r="A9" s="1"/>
      <c r="B9" s="55" t="s">
        <v>55</v>
      </c>
      <c r="C9" s="55"/>
      <c r="D9" s="55"/>
      <c r="E9" s="7">
        <f>'Fane 3. Omkostninger i ØR2022'!E16</f>
        <v>9273672.262023747</v>
      </c>
      <c r="F9" s="55" t="s">
        <v>3</v>
      </c>
      <c r="G9" s="1"/>
    </row>
    <row r="10" spans="1:7" ht="17.25" customHeight="1" x14ac:dyDescent="0.25">
      <c r="A10" s="1"/>
      <c r="B10" s="24" t="s">
        <v>50</v>
      </c>
      <c r="C10" s="55"/>
      <c r="D10" s="55"/>
      <c r="E10" s="7">
        <f>'Fane 8.1. Varige tillæg'!C14+'Fane 8.1. Varige tillæg'!E14</f>
        <v>1911250.4012326219</v>
      </c>
      <c r="F10" s="55" t="s">
        <v>3</v>
      </c>
      <c r="G10" s="1"/>
    </row>
    <row r="11" spans="1:7" ht="17.25" customHeight="1" x14ac:dyDescent="0.25">
      <c r="A11" s="1"/>
      <c r="B11" s="24" t="s">
        <v>52</v>
      </c>
      <c r="C11" s="55"/>
      <c r="D11" s="55"/>
      <c r="E11" s="8">
        <f>-('Fane 10. Bortfald'!C13+'Fane 10. Bortfald'!E13)</f>
        <v>0</v>
      </c>
      <c r="F11" s="55" t="s">
        <v>3</v>
      </c>
      <c r="G11" s="1"/>
    </row>
    <row r="12" spans="1:7" ht="17.25" customHeight="1" x14ac:dyDescent="0.25">
      <c r="A12" s="1"/>
      <c r="B12" s="24" t="s">
        <v>54</v>
      </c>
      <c r="C12" s="55"/>
      <c r="D12" s="55"/>
      <c r="E12" s="8">
        <f>'Fane 9. Tilknyttet virksomhed'!C12+'Fane 9. Tilknyttet virksomhed'!E12</f>
        <v>0</v>
      </c>
      <c r="F12" s="55" t="s">
        <v>3</v>
      </c>
      <c r="G12" s="1"/>
    </row>
    <row r="13" spans="1:7" ht="17.25" customHeight="1" x14ac:dyDescent="0.25">
      <c r="A13" s="1"/>
      <c r="B13" s="24" t="s">
        <v>17</v>
      </c>
      <c r="C13" s="55"/>
      <c r="D13" s="55"/>
      <c r="E13" s="8">
        <f>SUM(E9:E12)*'Fane 11. Nøgletal'!C15</f>
        <v>398183.24681192677</v>
      </c>
      <c r="F13" s="55" t="s">
        <v>3</v>
      </c>
      <c r="G13" s="1"/>
    </row>
    <row r="14" spans="1:7" ht="17.25" customHeight="1" x14ac:dyDescent="0.25">
      <c r="A14" s="1"/>
      <c r="B14" s="24" t="s">
        <v>44</v>
      </c>
      <c r="C14" s="55"/>
      <c r="D14" s="55"/>
      <c r="E14" s="8">
        <f>-SUM(E9,E10:E13)*'Fane 11. Nøgletal'!C20</f>
        <v>-196912.80047116106</v>
      </c>
      <c r="F14" s="55" t="s">
        <v>3</v>
      </c>
      <c r="G14" s="1"/>
    </row>
    <row r="15" spans="1:7" ht="15" customHeight="1" x14ac:dyDescent="0.25">
      <c r="A15" s="1"/>
      <c r="B15" s="68" t="s">
        <v>19</v>
      </c>
      <c r="C15" s="29"/>
      <c r="D15" s="29"/>
      <c r="E15" s="9">
        <f>SUM(E9,E10:E14)</f>
        <v>11386193.109597135</v>
      </c>
      <c r="F15" s="59" t="s">
        <v>3</v>
      </c>
      <c r="G15" s="1"/>
    </row>
    <row r="16" spans="1:7" ht="15" customHeight="1" x14ac:dyDescent="0.25">
      <c r="A16" s="1"/>
      <c r="B16" s="58" t="s">
        <v>11</v>
      </c>
      <c r="C16" s="58"/>
      <c r="D16" s="58"/>
      <c r="E16" s="58"/>
      <c r="F16" s="58"/>
      <c r="G16" s="1"/>
    </row>
    <row r="17" spans="1:7" ht="15" customHeight="1" x14ac:dyDescent="0.25">
      <c r="A17" s="1"/>
      <c r="B17" s="59" t="s">
        <v>11</v>
      </c>
      <c r="C17" s="59"/>
      <c r="D17" s="59"/>
      <c r="E17" s="9">
        <f>'Fane 4. Ikke-påvirkelige omk.'!C16</f>
        <v>5267923.7982868087</v>
      </c>
      <c r="F17" s="59" t="s">
        <v>3</v>
      </c>
      <c r="G17" s="1"/>
    </row>
    <row r="18" spans="1:7" ht="15" customHeight="1" x14ac:dyDescent="0.25">
      <c r="A18" s="1"/>
      <c r="B18" s="58" t="s">
        <v>36</v>
      </c>
      <c r="C18" s="58"/>
      <c r="D18" s="58"/>
      <c r="E18" s="58"/>
      <c r="F18" s="58"/>
      <c r="G18" s="1"/>
    </row>
    <row r="19" spans="1:7" ht="15" customHeight="1" x14ac:dyDescent="0.25">
      <c r="A19" s="1"/>
      <c r="B19" s="24" t="s">
        <v>33</v>
      </c>
      <c r="C19" s="55"/>
      <c r="D19" s="55"/>
      <c r="E19" s="8">
        <f>'Fane 8.2. Engangstillæg'!C11</f>
        <v>0</v>
      </c>
      <c r="F19" s="55" t="s">
        <v>3</v>
      </c>
      <c r="G19" s="1"/>
    </row>
    <row r="20" spans="1:7" x14ac:dyDescent="0.25">
      <c r="A20" s="1"/>
      <c r="B20" s="24" t="s">
        <v>34</v>
      </c>
      <c r="C20" s="55"/>
      <c r="D20" s="55"/>
      <c r="E20" s="8">
        <f>'Fane 8.2. Engangstillæg'!E11</f>
        <v>0</v>
      </c>
      <c r="F20" s="55" t="s">
        <v>3</v>
      </c>
      <c r="G20" s="1"/>
    </row>
    <row r="21" spans="1:7" x14ac:dyDescent="0.25">
      <c r="A21" s="1"/>
      <c r="B21" s="24" t="s">
        <v>106</v>
      </c>
      <c r="C21" s="55"/>
      <c r="D21" s="55"/>
      <c r="E21" s="8">
        <f>-SUM(E19:E20)*'Fane 11. Nøgletal'!C20</f>
        <v>0</v>
      </c>
      <c r="F21" s="55" t="s">
        <v>3</v>
      </c>
      <c r="G21" s="1"/>
    </row>
    <row r="22" spans="1:7" ht="15" customHeight="1" x14ac:dyDescent="0.25">
      <c r="A22" s="1"/>
      <c r="B22" s="68" t="s">
        <v>37</v>
      </c>
      <c r="C22" s="29"/>
      <c r="D22" s="29"/>
      <c r="E22" s="9">
        <f>SUM(E19:E21)</f>
        <v>0</v>
      </c>
      <c r="F22" s="59" t="s">
        <v>3</v>
      </c>
      <c r="G22" s="1"/>
    </row>
    <row r="23" spans="1:7" x14ac:dyDescent="0.25">
      <c r="A23" s="1"/>
      <c r="B23" s="58" t="s">
        <v>62</v>
      </c>
      <c r="C23" s="58"/>
      <c r="D23" s="58"/>
      <c r="E23" s="58"/>
      <c r="F23" s="58"/>
      <c r="G23" s="1"/>
    </row>
    <row r="24" spans="1:7" x14ac:dyDescent="0.25">
      <c r="A24" s="1"/>
      <c r="B24" s="68" t="s">
        <v>63</v>
      </c>
      <c r="C24" s="32"/>
      <c r="D24" s="32"/>
      <c r="E24" s="9">
        <f>'Fane 5. Kontrol af ØR2021'!E30</f>
        <v>-929271.39889091253</v>
      </c>
      <c r="F24" s="59" t="s">
        <v>3</v>
      </c>
      <c r="G24" s="1"/>
    </row>
    <row r="25" spans="1:7" x14ac:dyDescent="0.25">
      <c r="A25" s="1"/>
      <c r="B25" s="58" t="s">
        <v>75</v>
      </c>
      <c r="C25" s="58"/>
      <c r="D25" s="58"/>
      <c r="E25" s="58"/>
      <c r="F25" s="58"/>
      <c r="G25" s="1"/>
    </row>
    <row r="26" spans="1:7" x14ac:dyDescent="0.25">
      <c r="A26" s="1"/>
      <c r="B26" s="59" t="s">
        <v>76</v>
      </c>
      <c r="C26" s="59"/>
      <c r="D26" s="59"/>
      <c r="E26" s="9">
        <f>'Fane 6. Skattesagen'!G12</f>
        <v>0</v>
      </c>
      <c r="F26" s="59" t="s">
        <v>3</v>
      </c>
      <c r="G26" s="1"/>
    </row>
    <row r="27" spans="1:7" x14ac:dyDescent="0.25">
      <c r="A27" s="1"/>
      <c r="B27" s="58" t="s">
        <v>39</v>
      </c>
      <c r="C27" s="58"/>
      <c r="D27" s="58"/>
      <c r="E27" s="10">
        <f>SUM(E15:E17:E22:E24:E26)</f>
        <v>15724845.508993031</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zQ5ZbsJAxeIVRH1BTbNLn5zJx3fm9FFfZhQL4esxsp77kE+r8q+NxiAIjdka07WtMFld74bEDLV7e6uwoQNXpg==" saltValue="ROto1vTJQy4sfT8GjEeki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44"/>
  <sheetViews>
    <sheetView showGridLines="0" view="pageLayout" topLeftCell="A4" zoomScaleNormal="100" workbookViewId="0">
      <selection activeCell="B3" sqref="B3:F4"/>
    </sheetView>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56</v>
      </c>
      <c r="C8" s="55"/>
      <c r="D8" s="55"/>
      <c r="E8" s="7">
        <f>'Fane 2.1. Økonomisk ramme 2023'!E15</f>
        <v>11386193.109597135</v>
      </c>
      <c r="F8" s="55" t="s">
        <v>3</v>
      </c>
      <c r="G8" s="1"/>
    </row>
    <row r="9" spans="1:7" ht="15" customHeight="1" x14ac:dyDescent="0.25">
      <c r="A9" s="1"/>
      <c r="B9" s="56" t="s">
        <v>17</v>
      </c>
      <c r="C9" s="55"/>
      <c r="D9" s="55"/>
      <c r="E9" s="8">
        <f>SUM(E8:E8)*'Fane 11. Nøgletal'!C15</f>
        <v>405348.47470165801</v>
      </c>
      <c r="F9" s="55" t="s">
        <v>3</v>
      </c>
      <c r="G9" s="1"/>
    </row>
    <row r="10" spans="1:7" ht="15" customHeight="1" x14ac:dyDescent="0.25">
      <c r="A10" s="1"/>
      <c r="B10" s="56" t="s">
        <v>44</v>
      </c>
      <c r="C10" s="55"/>
      <c r="D10" s="55"/>
      <c r="E10" s="8">
        <f>-SUM(E8:E9)*'Fane 11. Nøgletal'!C20</f>
        <v>-200456.20693307949</v>
      </c>
      <c r="F10" s="55" t="s">
        <v>3</v>
      </c>
      <c r="G10" s="1"/>
    </row>
    <row r="11" spans="1:7" ht="15" customHeight="1" x14ac:dyDescent="0.25">
      <c r="A11" s="1"/>
      <c r="B11" s="29" t="s">
        <v>19</v>
      </c>
      <c r="C11" s="29"/>
      <c r="D11" s="29"/>
      <c r="E11" s="9">
        <f>SUM(E8:E10)</f>
        <v>11591085.377365714</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omk.'!C16*(1+'Fane 11. Nøgletal'!C15)</f>
        <v>5455461.8855058197</v>
      </c>
      <c r="F13" s="59" t="s">
        <v>3</v>
      </c>
      <c r="G13" s="1"/>
    </row>
    <row r="14" spans="1:7" x14ac:dyDescent="0.25">
      <c r="A14" s="1"/>
      <c r="B14" s="58" t="s">
        <v>62</v>
      </c>
      <c r="C14" s="58"/>
      <c r="D14" s="58"/>
      <c r="E14" s="58"/>
      <c r="F14" s="58"/>
      <c r="G14" s="1"/>
    </row>
    <row r="15" spans="1:7" x14ac:dyDescent="0.25">
      <c r="A15" s="1"/>
      <c r="B15" s="59" t="s">
        <v>77</v>
      </c>
      <c r="C15" s="33"/>
      <c r="D15" s="33"/>
      <c r="E15" s="9">
        <f>'Fane 5. Kontrol af ØR2021'!E30</f>
        <v>-929271.39889091253</v>
      </c>
      <c r="F15" s="59" t="s">
        <v>3</v>
      </c>
      <c r="G15" s="1"/>
    </row>
    <row r="16" spans="1:7" x14ac:dyDescent="0.25">
      <c r="A16" s="1"/>
      <c r="B16" s="58" t="s">
        <v>75</v>
      </c>
      <c r="C16" s="58"/>
      <c r="D16" s="58"/>
      <c r="E16" s="58"/>
      <c r="F16" s="58"/>
      <c r="G16" s="1"/>
    </row>
    <row r="17" spans="1:7" x14ac:dyDescent="0.25">
      <c r="A17" s="1"/>
      <c r="B17" s="59" t="s">
        <v>76</v>
      </c>
      <c r="C17" s="59"/>
      <c r="D17" s="59"/>
      <c r="E17" s="9">
        <f>'Fane 6. Skattesagen'!G13</f>
        <v>0</v>
      </c>
      <c r="F17" s="59" t="s">
        <v>3</v>
      </c>
      <c r="G17" s="1"/>
    </row>
    <row r="18" spans="1:7" x14ac:dyDescent="0.25">
      <c r="A18" s="1"/>
      <c r="B18" s="58" t="s">
        <v>57</v>
      </c>
      <c r="C18" s="58"/>
      <c r="D18" s="58"/>
      <c r="E18" s="10">
        <f>SUM(E11,E13,E15,E17)</f>
        <v>16117275.863980621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ymsgXlFr2bQg+ufJqqCbXUkpiiMk7C12IC/+gU+18GUy+eViZIkEX/EA9XufCaguos6wQgpSYYpgZAyiXRlEBw==" saltValue="qpTulKmzCARxo4HxcmKuz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48"/>
  <sheetViews>
    <sheetView showGridLines="0" view="pageLayout" topLeftCell="A3" zoomScaleNormal="100" workbookViewId="0">
      <selection activeCell="B3" sqref="B3:F4"/>
    </sheetView>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65</v>
      </c>
      <c r="C8" s="55"/>
      <c r="D8" s="55"/>
      <c r="E8" s="7">
        <f>'Fane 2.2. Økonomisk ramme 2024'!E11</f>
        <v>11591085.377365714</v>
      </c>
      <c r="F8" s="55" t="s">
        <v>3</v>
      </c>
      <c r="G8" s="1"/>
    </row>
    <row r="9" spans="1:7" ht="15" customHeight="1" x14ac:dyDescent="0.25">
      <c r="A9" s="1"/>
      <c r="B9" s="56" t="s">
        <v>17</v>
      </c>
      <c r="C9" s="55"/>
      <c r="D9" s="55"/>
      <c r="E9" s="8">
        <f>SUM(E8:E8)*'Fane 11. Nøgletal'!C15</f>
        <v>412642.6394342194</v>
      </c>
      <c r="F9" s="55" t="s">
        <v>3</v>
      </c>
      <c r="G9" s="1"/>
    </row>
    <row r="10" spans="1:7" ht="15" customHeight="1" x14ac:dyDescent="0.25">
      <c r="A10" s="1"/>
      <c r="B10" s="56" t="s">
        <v>44</v>
      </c>
      <c r="C10" s="55"/>
      <c r="D10" s="55"/>
      <c r="E10" s="8">
        <f>-SUM(E8:E9)*'Fane 11. Nøgletal'!C20</f>
        <v>-204063.3762855989</v>
      </c>
      <c r="F10" s="55" t="s">
        <v>3</v>
      </c>
      <c r="G10" s="1"/>
    </row>
    <row r="11" spans="1:7" x14ac:dyDescent="0.25">
      <c r="A11" s="1"/>
      <c r="B11" s="29" t="s">
        <v>19</v>
      </c>
      <c r="C11" s="29"/>
      <c r="D11" s="29"/>
      <c r="E11" s="9">
        <f>SUM(E8:E10)</f>
        <v>11799664.640514335</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omk.'!C16*(1+'Fane 11. Nøgletal'!C15)^2</f>
        <v>5649676.3286298271</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Skattesagen'!G14</f>
        <v>0</v>
      </c>
      <c r="F17" s="59" t="s">
        <v>3</v>
      </c>
      <c r="G17" s="1"/>
    </row>
    <row r="18" spans="1:7" x14ac:dyDescent="0.25">
      <c r="A18" s="1"/>
      <c r="B18" s="58" t="s">
        <v>66</v>
      </c>
      <c r="C18" s="58"/>
      <c r="D18" s="58"/>
      <c r="E18" s="10">
        <f>SUM(E11,E13,E15,E17)</f>
        <v>17449340.969144162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k5wCZX/M3Yx9F2oMt8PFsGXxmoLCaaRbOZjpq2m88oRcPKkEJ86XdtcpUPdeiVkdhNVMb2BszlNTEny9rxQFZw==" saltValue="Z+o9xt1NSWwPsAVyDbQ00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48"/>
  <sheetViews>
    <sheetView showGridLines="0" view="pageLayout" zoomScaleNormal="100" workbookViewId="0">
      <selection activeCell="B3" sqref="B3:F4"/>
    </sheetView>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8" t="s">
        <v>12</v>
      </c>
      <c r="C7" s="58"/>
      <c r="D7" s="58"/>
      <c r="E7" s="58"/>
      <c r="F7" s="58"/>
      <c r="G7" s="1"/>
    </row>
    <row r="8" spans="1:7" ht="15" customHeight="1" x14ac:dyDescent="0.25">
      <c r="A8" s="1"/>
      <c r="B8" s="55" t="s">
        <v>86</v>
      </c>
      <c r="C8" s="55"/>
      <c r="D8" s="55"/>
      <c r="E8" s="7">
        <f>'Fane 2.3. Økonomisk ramme 2025'!E11</f>
        <v>11799664.640514335</v>
      </c>
      <c r="F8" s="55" t="s">
        <v>3</v>
      </c>
      <c r="G8" s="1"/>
    </row>
    <row r="9" spans="1:7" ht="15" customHeight="1" x14ac:dyDescent="0.25">
      <c r="A9" s="1"/>
      <c r="B9" s="56" t="s">
        <v>17</v>
      </c>
      <c r="C9" s="55"/>
      <c r="D9" s="55"/>
      <c r="E9" s="8">
        <f>SUM(E8:E8)*'Fane 11. Nøgletal'!C15</f>
        <v>420068.06120231032</v>
      </c>
      <c r="F9" s="55" t="s">
        <v>3</v>
      </c>
      <c r="G9" s="1"/>
    </row>
    <row r="10" spans="1:7" ht="15" customHeight="1" x14ac:dyDescent="0.25">
      <c r="A10" s="1"/>
      <c r="B10" s="56" t="s">
        <v>44</v>
      </c>
      <c r="C10" s="55"/>
      <c r="D10" s="55"/>
      <c r="E10" s="8">
        <f>-SUM(E8:E9)*'Fane 11. Nøgletal'!C20</f>
        <v>-207735.45592918296</v>
      </c>
      <c r="F10" s="55" t="s">
        <v>3</v>
      </c>
      <c r="G10" s="1"/>
    </row>
    <row r="11" spans="1:7" x14ac:dyDescent="0.25">
      <c r="A11" s="1"/>
      <c r="B11" s="29" t="s">
        <v>19</v>
      </c>
      <c r="C11" s="29"/>
      <c r="D11" s="29"/>
      <c r="E11" s="9">
        <f>SUM(E8:E10)</f>
        <v>12011997.245787462</v>
      </c>
      <c r="F11" s="59" t="s">
        <v>3</v>
      </c>
      <c r="G11" s="1"/>
    </row>
    <row r="12" spans="1:7" x14ac:dyDescent="0.25">
      <c r="A12" s="1"/>
      <c r="B12" s="58" t="s">
        <v>11</v>
      </c>
      <c r="C12" s="58"/>
      <c r="D12" s="58"/>
      <c r="E12" s="58"/>
      <c r="F12" s="58"/>
      <c r="G12" s="1"/>
    </row>
    <row r="13" spans="1:7" ht="15" customHeight="1" x14ac:dyDescent="0.25">
      <c r="A13" s="1"/>
      <c r="B13" s="59" t="s">
        <v>11</v>
      </c>
      <c r="C13" s="59"/>
      <c r="D13" s="59"/>
      <c r="E13" s="9">
        <f>'Fane 4. Ikke-påvirkelige omk.'!C16*(1+'Fane 11. Nøgletal'!C15)^3</f>
        <v>5850804.8059290489</v>
      </c>
      <c r="F13" s="59" t="s">
        <v>3</v>
      </c>
      <c r="G13" s="1"/>
    </row>
    <row r="14" spans="1:7" ht="15" customHeight="1" x14ac:dyDescent="0.25">
      <c r="A14" s="1"/>
      <c r="B14" s="58" t="s">
        <v>62</v>
      </c>
      <c r="C14" s="58"/>
      <c r="D14" s="58"/>
      <c r="E14" s="58"/>
      <c r="F14" s="58"/>
      <c r="G14" s="1"/>
    </row>
    <row r="15" spans="1:7" ht="15" customHeight="1" x14ac:dyDescent="0.25">
      <c r="A15" s="1"/>
      <c r="B15" s="59" t="s">
        <v>63</v>
      </c>
      <c r="C15" s="33"/>
      <c r="D15" s="33"/>
      <c r="E15" s="9">
        <v>0</v>
      </c>
      <c r="F15" s="59" t="s">
        <v>3</v>
      </c>
      <c r="G15" s="1"/>
    </row>
    <row r="16" spans="1:7" ht="15" customHeight="1" x14ac:dyDescent="0.25">
      <c r="A16" s="1"/>
      <c r="B16" s="58" t="s">
        <v>75</v>
      </c>
      <c r="C16" s="58"/>
      <c r="D16" s="58"/>
      <c r="E16" s="58"/>
      <c r="F16" s="58"/>
      <c r="G16" s="1"/>
    </row>
    <row r="17" spans="1:7" ht="15" customHeight="1" x14ac:dyDescent="0.25">
      <c r="A17" s="1"/>
      <c r="B17" s="59" t="s">
        <v>76</v>
      </c>
      <c r="C17" s="59"/>
      <c r="D17" s="59"/>
      <c r="E17" s="9">
        <f>'Fane 6. Skattesagen'!G15</f>
        <v>0</v>
      </c>
      <c r="F17" s="59" t="s">
        <v>3</v>
      </c>
      <c r="G17" s="1"/>
    </row>
    <row r="18" spans="1:7" x14ac:dyDescent="0.25">
      <c r="A18" s="1"/>
      <c r="B18" s="58" t="s">
        <v>87</v>
      </c>
      <c r="C18" s="58"/>
      <c r="D18" s="58"/>
      <c r="E18" s="10">
        <f>SUM(E11,E13,E15,E17)</f>
        <v>17862802.05171651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aH6oKXCTFuZYs5JH2jBps2rn9CfePOBaNHFZR6jcxDDDASoObM8aGwCM9+NDo1wYxSeCKsZzKt1U0oPVniRJUQ==" saltValue="X/fG6y5yYcy3Vy38Yk2yU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6"/>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88</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8" t="s">
        <v>89</v>
      </c>
      <c r="C8" s="58"/>
      <c r="D8" s="58"/>
      <c r="E8" s="58"/>
      <c r="F8" s="58"/>
      <c r="G8" s="1"/>
    </row>
    <row r="9" spans="1:7" x14ac:dyDescent="0.25">
      <c r="A9" s="1"/>
      <c r="B9" s="108" t="s">
        <v>22</v>
      </c>
      <c r="C9" s="108"/>
      <c r="D9" s="108"/>
      <c r="E9" s="7">
        <v>9320342.9472980462</v>
      </c>
      <c r="F9" s="55" t="s">
        <v>3</v>
      </c>
      <c r="G9" s="1"/>
    </row>
    <row r="10" spans="1:7" x14ac:dyDescent="0.25">
      <c r="A10" s="1"/>
      <c r="B10" s="109" t="s">
        <v>103</v>
      </c>
      <c r="C10" s="110"/>
      <c r="D10" s="111"/>
      <c r="E10" s="7">
        <v>0</v>
      </c>
      <c r="F10" s="55" t="s">
        <v>3</v>
      </c>
      <c r="G10" s="1"/>
    </row>
    <row r="11" spans="1:7" x14ac:dyDescent="0.25">
      <c r="A11" s="1"/>
      <c r="B11" s="94" t="s">
        <v>50</v>
      </c>
      <c r="C11" s="94"/>
      <c r="D11" s="94"/>
      <c r="E11" s="7">
        <v>0</v>
      </c>
      <c r="F11" s="55" t="s">
        <v>3</v>
      </c>
      <c r="G11" s="1"/>
    </row>
    <row r="12" spans="1:7" x14ac:dyDescent="0.25">
      <c r="A12" s="1"/>
      <c r="B12" s="94" t="s">
        <v>54</v>
      </c>
      <c r="C12" s="94"/>
      <c r="D12" s="94"/>
      <c r="E12" s="7">
        <v>0</v>
      </c>
      <c r="F12" s="55" t="s">
        <v>3</v>
      </c>
      <c r="G12" s="1"/>
    </row>
    <row r="13" spans="1:7" x14ac:dyDescent="0.25">
      <c r="A13" s="1"/>
      <c r="B13" s="94" t="s">
        <v>51</v>
      </c>
      <c r="C13" s="94"/>
      <c r="D13" s="94"/>
      <c r="E13" s="8">
        <v>0</v>
      </c>
      <c r="F13" s="55" t="s">
        <v>3</v>
      </c>
      <c r="G13" s="1"/>
    </row>
    <row r="14" spans="1:7" x14ac:dyDescent="0.25">
      <c r="A14" s="1"/>
      <c r="B14" s="94" t="s">
        <v>17</v>
      </c>
      <c r="C14" s="94"/>
      <c r="D14" s="94"/>
      <c r="E14" s="8">
        <f>E9*'Fane 11. Nøgletal'!C13+SUM(E11:E13)*'Fane 11. Nøgletal'!C14</f>
        <v>113708.18395703618</v>
      </c>
      <c r="F14" s="55" t="s">
        <v>3</v>
      </c>
      <c r="G14" s="1"/>
    </row>
    <row r="15" spans="1:7" x14ac:dyDescent="0.25">
      <c r="A15" s="1"/>
      <c r="B15" s="94" t="s">
        <v>44</v>
      </c>
      <c r="C15" s="94"/>
      <c r="D15" s="94"/>
      <c r="E15" s="8">
        <f>-SUM(E9:E14)*'Fane 11. Nøgletal'!C20</f>
        <v>-160378.86923133643</v>
      </c>
      <c r="F15" s="55" t="s">
        <v>3</v>
      </c>
      <c r="G15" s="1"/>
    </row>
    <row r="16" spans="1:7" x14ac:dyDescent="0.25">
      <c r="A16" s="1"/>
      <c r="B16" s="95" t="s">
        <v>19</v>
      </c>
      <c r="C16" s="95"/>
      <c r="D16" s="95"/>
      <c r="E16" s="34">
        <f>SUM(E9:E15)</f>
        <v>9273672.262023747</v>
      </c>
      <c r="F16" s="35" t="s">
        <v>3</v>
      </c>
      <c r="G16" s="1"/>
    </row>
    <row r="17" spans="1:7" x14ac:dyDescent="0.25">
      <c r="A17" s="1"/>
      <c r="B17" s="96" t="s">
        <v>11</v>
      </c>
      <c r="C17" s="96"/>
      <c r="D17" s="96"/>
      <c r="E17" s="58"/>
      <c r="F17" s="58"/>
      <c r="G17" s="1"/>
    </row>
    <row r="18" spans="1:7" x14ac:dyDescent="0.25">
      <c r="A18" s="1"/>
      <c r="B18" s="97" t="s">
        <v>11</v>
      </c>
      <c r="C18" s="97"/>
      <c r="D18" s="97"/>
      <c r="E18" s="9">
        <v>4066061.7514086207</v>
      </c>
      <c r="F18" s="59" t="s">
        <v>3</v>
      </c>
      <c r="G18" s="1"/>
    </row>
    <row r="19" spans="1:7" ht="15.4" customHeight="1" x14ac:dyDescent="0.25">
      <c r="A19" s="1"/>
      <c r="B19" s="58" t="s">
        <v>36</v>
      </c>
      <c r="C19" s="58"/>
      <c r="D19" s="58"/>
      <c r="E19" s="58"/>
      <c r="F19" s="58"/>
      <c r="G19" s="1"/>
    </row>
    <row r="20" spans="1:7" ht="15.75" customHeight="1" x14ac:dyDescent="0.25">
      <c r="A20" s="1"/>
      <c r="B20" s="98" t="s">
        <v>33</v>
      </c>
      <c r="C20" s="99"/>
      <c r="D20" s="100"/>
      <c r="E20" s="28">
        <v>0</v>
      </c>
      <c r="F20" s="27" t="s">
        <v>3</v>
      </c>
      <c r="G20" s="1"/>
    </row>
    <row r="21" spans="1:7" x14ac:dyDescent="0.25">
      <c r="A21" s="1"/>
      <c r="B21" s="98" t="s">
        <v>34</v>
      </c>
      <c r="C21" s="99"/>
      <c r="D21" s="100"/>
      <c r="E21" s="51">
        <v>0</v>
      </c>
      <c r="F21" s="27" t="s">
        <v>3</v>
      </c>
      <c r="G21" s="1"/>
    </row>
    <row r="22" spans="1:7" x14ac:dyDescent="0.25">
      <c r="A22" s="1"/>
      <c r="B22" s="101" t="s">
        <v>37</v>
      </c>
      <c r="C22" s="102"/>
      <c r="D22" s="103"/>
      <c r="E22" s="9">
        <f>SUM(E20:E21)</f>
        <v>0</v>
      </c>
      <c r="F22" s="9" t="s">
        <v>3</v>
      </c>
      <c r="G22" s="1"/>
    </row>
    <row r="23" spans="1:7" ht="15.75" customHeight="1" x14ac:dyDescent="0.25">
      <c r="A23" s="1"/>
      <c r="B23" s="58" t="s">
        <v>62</v>
      </c>
      <c r="C23" s="58"/>
      <c r="D23" s="58"/>
      <c r="E23" s="58"/>
      <c r="F23" s="58"/>
      <c r="G23" s="1"/>
    </row>
    <row r="24" spans="1:7" x14ac:dyDescent="0.25">
      <c r="A24" s="1"/>
      <c r="B24" s="68" t="s">
        <v>27</v>
      </c>
      <c r="C24" s="29"/>
      <c r="D24" s="29"/>
      <c r="E24" s="9">
        <v>105370.07473210827</v>
      </c>
      <c r="F24" s="59" t="s">
        <v>3</v>
      </c>
      <c r="G24" s="1"/>
    </row>
    <row r="25" spans="1:7" x14ac:dyDescent="0.25">
      <c r="A25" s="1"/>
      <c r="B25" s="68" t="s">
        <v>63</v>
      </c>
      <c r="C25" s="29"/>
      <c r="D25" s="29"/>
      <c r="E25" s="9">
        <v>-844148.86732573621</v>
      </c>
      <c r="F25" s="59" t="s">
        <v>3</v>
      </c>
      <c r="G25" s="1"/>
    </row>
    <row r="26" spans="1:7" x14ac:dyDescent="0.25">
      <c r="A26" s="1"/>
      <c r="B26" s="58" t="s">
        <v>75</v>
      </c>
      <c r="C26" s="58"/>
      <c r="D26" s="58"/>
      <c r="E26" s="58"/>
      <c r="F26" s="58"/>
      <c r="G26" s="1"/>
    </row>
    <row r="27" spans="1:7" x14ac:dyDescent="0.25">
      <c r="A27" s="1"/>
      <c r="B27" s="104" t="s">
        <v>76</v>
      </c>
      <c r="C27" s="105"/>
      <c r="D27" s="106"/>
      <c r="E27" s="9">
        <f>'Fane 6. Skattesagen'!G11</f>
        <v>0</v>
      </c>
      <c r="F27" s="59" t="s">
        <v>3</v>
      </c>
      <c r="G27" s="1"/>
    </row>
    <row r="28" spans="1:7" ht="15" customHeight="1" x14ac:dyDescent="0.25">
      <c r="A28" s="1"/>
      <c r="B28" s="36" t="s">
        <v>149</v>
      </c>
      <c r="C28" s="36"/>
      <c r="D28" s="36"/>
      <c r="E28" s="37">
        <f>E16+E18+E22+E24+E25+E27</f>
        <v>12600955.22083874</v>
      </c>
      <c r="F28" s="38" t="s">
        <v>3</v>
      </c>
      <c r="G28" s="1"/>
    </row>
    <row r="29" spans="1:7" ht="27" customHeight="1" x14ac:dyDescent="0.25">
      <c r="A29" s="1"/>
      <c r="B29" s="93" t="s">
        <v>90</v>
      </c>
      <c r="C29" s="93"/>
      <c r="D29" s="93"/>
      <c r="E29" s="93"/>
      <c r="F29" s="93"/>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bO+O+SVcMcizD1rluPCHOi9i41f4pHMGSAdUOPezKUgkJcCGG2kIPR4ec9BB09fwLyeK4J3Dui7e6wj2Xe6CbA==" saltValue="bDaCDVP7aVptSUNkYVYlh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0"/>
  <sheetViews>
    <sheetView showGridLines="0" view="pageLayout" topLeftCell="A6" zoomScaleNormal="100" workbookViewId="0">
      <selection activeCell="B8" sqref="B8:D8"/>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91</v>
      </c>
      <c r="C8" s="113"/>
      <c r="D8" s="114"/>
      <c r="E8" s="1"/>
      <c r="F8" s="1"/>
    </row>
    <row r="9" spans="1:6" ht="15" customHeight="1" x14ac:dyDescent="0.25">
      <c r="A9" s="1"/>
      <c r="B9" s="17" t="s">
        <v>25</v>
      </c>
      <c r="C9" s="59" t="s">
        <v>109</v>
      </c>
      <c r="D9" s="59"/>
      <c r="E9" s="1"/>
      <c r="F9" s="1"/>
    </row>
    <row r="10" spans="1:6" x14ac:dyDescent="0.25">
      <c r="A10" s="1"/>
      <c r="B10" s="23" t="s">
        <v>128</v>
      </c>
      <c r="C10" s="8">
        <v>4180540</v>
      </c>
      <c r="D10" s="12" t="s">
        <v>3</v>
      </c>
      <c r="E10" s="1"/>
      <c r="F10" s="1"/>
    </row>
    <row r="11" spans="1:6" x14ac:dyDescent="0.25">
      <c r="A11" s="1"/>
      <c r="B11" s="23" t="s">
        <v>129</v>
      </c>
      <c r="C11" s="8">
        <v>17840</v>
      </c>
      <c r="D11" s="12" t="s">
        <v>3</v>
      </c>
      <c r="E11" s="1"/>
      <c r="F11" s="1"/>
    </row>
    <row r="12" spans="1:6" x14ac:dyDescent="0.25">
      <c r="A12" s="1"/>
      <c r="B12" s="23" t="s">
        <v>130</v>
      </c>
      <c r="C12" s="8">
        <v>8977</v>
      </c>
      <c r="D12" s="12" t="s">
        <v>3</v>
      </c>
      <c r="E12" s="1"/>
      <c r="F12" s="1"/>
    </row>
    <row r="13" spans="1:6" x14ac:dyDescent="0.25">
      <c r="A13" s="1"/>
      <c r="B13" s="23" t="s">
        <v>131</v>
      </c>
      <c r="C13" s="8">
        <v>86026</v>
      </c>
      <c r="D13" s="12" t="s">
        <v>3</v>
      </c>
      <c r="E13" s="1"/>
      <c r="F13" s="1"/>
    </row>
    <row r="14" spans="1:6" x14ac:dyDescent="0.25">
      <c r="A14" s="1"/>
      <c r="B14" s="23" t="s">
        <v>155</v>
      </c>
      <c r="C14" s="8">
        <v>618583.55000000005</v>
      </c>
      <c r="D14" s="12" t="s">
        <v>3</v>
      </c>
      <c r="E14" s="1"/>
      <c r="F14" s="1"/>
    </row>
    <row r="15" spans="1:6" x14ac:dyDescent="0.25">
      <c r="A15" s="1"/>
      <c r="B15" s="74" t="s">
        <v>92</v>
      </c>
      <c r="C15" s="10">
        <f>SUM(C10:C14)</f>
        <v>4911966.55</v>
      </c>
      <c r="D15" s="11" t="s">
        <v>3</v>
      </c>
      <c r="E15" s="1"/>
      <c r="F15" s="1"/>
    </row>
    <row r="16" spans="1:6" x14ac:dyDescent="0.25">
      <c r="A16" s="1"/>
      <c r="B16" s="74" t="s">
        <v>93</v>
      </c>
      <c r="C16" s="10">
        <f>C15*(1+'Fane 11. Nøgletal'!C15)^2</f>
        <v>5267923.7982868087</v>
      </c>
      <c r="D16" s="11" t="s">
        <v>3</v>
      </c>
      <c r="E16" s="1"/>
      <c r="F16" s="1"/>
    </row>
    <row r="17" spans="1:6" x14ac:dyDescent="0.25">
      <c r="A17" s="1"/>
      <c r="B17" s="14"/>
      <c r="C17" s="13"/>
      <c r="D17" s="13"/>
      <c r="E17" s="1"/>
      <c r="F17" s="1"/>
    </row>
    <row r="18" spans="1:6" x14ac:dyDescent="0.25">
      <c r="A18" s="1"/>
      <c r="B18" s="14"/>
      <c r="C18" s="13"/>
      <c r="D18" s="13"/>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iu0T6jm7ruH2Fw2yTp1BHBVLYqk4PF2xEhvwOeHzIfhhAisCCEUy6rpzwZ8aiAz0cgpGu0UHENNUyG1gVpzB+g==" saltValue="ZR7jIhJ4u178EfGrTNuOo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153</v>
      </c>
      <c r="C3" s="107"/>
      <c r="D3" s="107"/>
      <c r="E3" s="107"/>
      <c r="F3" s="107"/>
      <c r="G3" s="1"/>
    </row>
    <row r="4" spans="1:7" ht="15" customHeight="1" x14ac:dyDescent="0.25">
      <c r="A4" s="1"/>
      <c r="B4" s="107"/>
      <c r="C4" s="107"/>
      <c r="D4" s="107"/>
      <c r="E4" s="107"/>
      <c r="F4" s="107"/>
      <c r="G4" s="1"/>
    </row>
    <row r="5" spans="1:7" ht="15" customHeight="1" x14ac:dyDescent="0.25">
      <c r="A5" s="1"/>
      <c r="B5" s="54"/>
      <c r="C5" s="54"/>
      <c r="D5" s="54"/>
      <c r="E5" s="54"/>
      <c r="F5" s="54"/>
      <c r="G5" s="1"/>
    </row>
    <row r="6" spans="1:7" ht="15" customHeight="1" x14ac:dyDescent="0.25">
      <c r="A6" s="1"/>
      <c r="B6" s="54"/>
      <c r="C6" s="54"/>
      <c r="D6" s="54"/>
      <c r="E6" s="54"/>
      <c r="F6" s="54"/>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94</v>
      </c>
      <c r="C9" s="120"/>
      <c r="D9" s="121"/>
      <c r="E9" s="8">
        <v>-888654.74251648411</v>
      </c>
      <c r="F9" s="12" t="s">
        <v>3</v>
      </c>
      <c r="G9" s="1"/>
    </row>
    <row r="10" spans="1:7" x14ac:dyDescent="0.25">
      <c r="A10" s="1"/>
      <c r="B10" s="119" t="s">
        <v>132</v>
      </c>
      <c r="C10" s="120"/>
      <c r="D10" s="121"/>
      <c r="E10" s="8">
        <v>-888654.74251648411</v>
      </c>
      <c r="F10" s="12" t="s">
        <v>3</v>
      </c>
      <c r="G10" s="1"/>
    </row>
    <row r="11" spans="1:7" x14ac:dyDescent="0.25">
      <c r="A11" s="1"/>
      <c r="B11" s="74"/>
      <c r="C11" s="22"/>
      <c r="D11" s="22"/>
      <c r="E11" s="22"/>
      <c r="F11" s="75"/>
      <c r="G11" s="1"/>
    </row>
    <row r="12" spans="1:7" ht="68.25" customHeight="1" x14ac:dyDescent="0.25">
      <c r="A12" s="1"/>
      <c r="B12" s="125" t="s">
        <v>150</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95</v>
      </c>
      <c r="C15" s="120"/>
      <c r="D15" s="121"/>
      <c r="E15" s="8">
        <f>-222163.685629121*2</f>
        <v>-444327.371258242</v>
      </c>
      <c r="F15" s="12" t="s">
        <v>3</v>
      </c>
      <c r="G15" s="1"/>
    </row>
    <row r="16" spans="1:7" x14ac:dyDescent="0.25">
      <c r="A16" s="1"/>
      <c r="B16" s="119" t="s">
        <v>133</v>
      </c>
      <c r="C16" s="120"/>
      <c r="D16" s="121"/>
      <c r="E16" s="8">
        <f>-222163.685629121*2</f>
        <v>-444327.371258242</v>
      </c>
      <c r="F16" s="12" t="s">
        <v>3</v>
      </c>
      <c r="G16" s="1"/>
    </row>
    <row r="17" spans="1:7" x14ac:dyDescent="0.25">
      <c r="A17" s="1"/>
      <c r="B17" s="74"/>
      <c r="C17" s="22"/>
      <c r="D17" s="22"/>
      <c r="E17" s="22"/>
      <c r="F17" s="75"/>
      <c r="G17" s="1"/>
    </row>
    <row r="18" spans="1:7" ht="31.5" customHeight="1" x14ac:dyDescent="0.25">
      <c r="A18" s="1"/>
      <c r="B18" s="125" t="s">
        <v>151</v>
      </c>
      <c r="C18" s="126"/>
      <c r="D18" s="126"/>
      <c r="E18" s="126"/>
      <c r="F18" s="127"/>
      <c r="G18" s="1"/>
    </row>
    <row r="19" spans="1:7" ht="28.5" customHeight="1" x14ac:dyDescent="0.25">
      <c r="A19" s="1"/>
      <c r="B19" s="1"/>
      <c r="C19" s="1"/>
      <c r="D19" s="1"/>
      <c r="E19" s="1"/>
      <c r="F19" s="1"/>
      <c r="G19" s="1"/>
    </row>
    <row r="20" spans="1:7" ht="28.5" customHeight="1" x14ac:dyDescent="0.25">
      <c r="A20" s="1"/>
      <c r="B20" s="65" t="s">
        <v>96</v>
      </c>
      <c r="C20" s="66"/>
      <c r="D20" s="66"/>
      <c r="E20" s="66"/>
      <c r="F20" s="67"/>
      <c r="G20" s="1"/>
    </row>
    <row r="21" spans="1:7" x14ac:dyDescent="0.25">
      <c r="A21" s="1"/>
      <c r="B21" s="69" t="s">
        <v>97</v>
      </c>
      <c r="C21" s="70"/>
      <c r="D21" s="71"/>
      <c r="E21" s="8">
        <v>12762579.944734659</v>
      </c>
      <c r="F21" s="12" t="s">
        <v>3</v>
      </c>
      <c r="G21" s="1"/>
    </row>
    <row r="22" spans="1:7" x14ac:dyDescent="0.25">
      <c r="A22" s="1"/>
      <c r="B22" s="69" t="s">
        <v>134</v>
      </c>
      <c r="C22" s="70"/>
      <c r="D22" s="71"/>
      <c r="E22" s="8">
        <v>13732468</v>
      </c>
      <c r="F22" s="12" t="s">
        <v>3</v>
      </c>
      <c r="G22" s="1"/>
    </row>
    <row r="23" spans="1:7" x14ac:dyDescent="0.25">
      <c r="A23" s="1"/>
      <c r="B23" s="69" t="s">
        <v>26</v>
      </c>
      <c r="C23" s="70"/>
      <c r="D23" s="71"/>
      <c r="E23" s="8">
        <v>0</v>
      </c>
      <c r="F23" s="12" t="s">
        <v>3</v>
      </c>
      <c r="G23" s="1"/>
    </row>
    <row r="24" spans="1:7" x14ac:dyDescent="0.25">
      <c r="A24" s="1"/>
      <c r="B24" s="60" t="s">
        <v>152</v>
      </c>
      <c r="C24" s="61"/>
      <c r="D24" s="62"/>
      <c r="E24" s="52">
        <f>E21-(E22-E23)</f>
        <v>-969888.05526534095</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135</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-1858542.7977818251</v>
      </c>
      <c r="F28" s="12" t="s">
        <v>3</v>
      </c>
      <c r="G28" s="1"/>
    </row>
    <row r="29" spans="1:7" x14ac:dyDescent="0.25">
      <c r="A29" s="1"/>
      <c r="B29" s="122" t="s">
        <v>45</v>
      </c>
      <c r="C29" s="123"/>
      <c r="D29" s="124"/>
      <c r="E29" s="8">
        <v>2</v>
      </c>
      <c r="F29" s="12" t="s">
        <v>18</v>
      </c>
      <c r="G29" s="1"/>
    </row>
    <row r="30" spans="1:7" x14ac:dyDescent="0.25">
      <c r="A30" s="1"/>
      <c r="B30" s="115" t="s">
        <v>74</v>
      </c>
      <c r="C30" s="115"/>
      <c r="D30" s="115"/>
      <c r="E30" s="9">
        <f>E28/E29</f>
        <v>-929271.39889091253</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R/Z9kLmeyfWksYuOxWXj3L99K0xP6mwMhJ2HCCkkxivtgQh6ltaEAh/F+vczk0dLcDIDaGAUtSGSEClG1k8MLw==" saltValue="KntiRN6CB06Faad7nOwNZ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127</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124</v>
      </c>
      <c r="C8" s="113"/>
      <c r="D8" s="113"/>
      <c r="E8" s="113"/>
      <c r="F8" s="113"/>
      <c r="G8" s="113"/>
      <c r="H8" s="114"/>
      <c r="I8" s="1"/>
    </row>
    <row r="9" spans="1:9" ht="15" customHeight="1" x14ac:dyDescent="0.25">
      <c r="A9" s="1"/>
      <c r="B9" s="104" t="s">
        <v>125</v>
      </c>
      <c r="C9" s="105"/>
      <c r="D9" s="105"/>
      <c r="E9" s="105"/>
      <c r="F9" s="105"/>
      <c r="G9" s="105"/>
      <c r="H9" s="106"/>
      <c r="I9" s="1"/>
    </row>
    <row r="10" spans="1:9" x14ac:dyDescent="0.25">
      <c r="A10" s="1"/>
      <c r="B10" s="109" t="s">
        <v>141</v>
      </c>
      <c r="C10" s="110"/>
      <c r="D10" s="110"/>
      <c r="E10" s="110"/>
      <c r="F10" s="111"/>
      <c r="G10" s="53">
        <v>0</v>
      </c>
      <c r="H10" s="8" t="s">
        <v>3</v>
      </c>
      <c r="I10" s="1"/>
    </row>
    <row r="11" spans="1:9" x14ac:dyDescent="0.25">
      <c r="A11" s="1"/>
      <c r="B11" s="109" t="s">
        <v>142</v>
      </c>
      <c r="C11" s="110"/>
      <c r="D11" s="110"/>
      <c r="E11" s="110"/>
      <c r="F11" s="111"/>
      <c r="G11" s="53">
        <v>0</v>
      </c>
      <c r="H11" s="8" t="s">
        <v>3</v>
      </c>
      <c r="I11" s="1"/>
    </row>
    <row r="12" spans="1:9" x14ac:dyDescent="0.25">
      <c r="A12" s="1"/>
      <c r="B12" s="109" t="s">
        <v>143</v>
      </c>
      <c r="C12" s="110"/>
      <c r="D12" s="110"/>
      <c r="E12" s="110"/>
      <c r="F12" s="111"/>
      <c r="G12" s="8">
        <v>0</v>
      </c>
      <c r="H12" s="8" t="s">
        <v>3</v>
      </c>
      <c r="I12" s="1"/>
    </row>
    <row r="13" spans="1:9" x14ac:dyDescent="0.25">
      <c r="A13" s="1"/>
      <c r="B13" s="109" t="s">
        <v>144</v>
      </c>
      <c r="C13" s="110"/>
      <c r="D13" s="110"/>
      <c r="E13" s="110"/>
      <c r="F13" s="111"/>
      <c r="G13" s="8">
        <v>0</v>
      </c>
      <c r="H13" s="8" t="s">
        <v>3</v>
      </c>
      <c r="I13" s="1"/>
    </row>
    <row r="14" spans="1:9" x14ac:dyDescent="0.25">
      <c r="A14" s="1"/>
      <c r="B14" s="109" t="s">
        <v>145</v>
      </c>
      <c r="C14" s="110"/>
      <c r="D14" s="110"/>
      <c r="E14" s="110"/>
      <c r="F14" s="111"/>
      <c r="G14" s="8">
        <v>0</v>
      </c>
      <c r="H14" s="8" t="s">
        <v>3</v>
      </c>
      <c r="I14" s="1"/>
    </row>
    <row r="15" spans="1:9" x14ac:dyDescent="0.25">
      <c r="A15" s="1"/>
      <c r="B15" s="109" t="s">
        <v>146</v>
      </c>
      <c r="C15" s="110"/>
      <c r="D15" s="110"/>
      <c r="E15" s="110"/>
      <c r="F15" s="111"/>
      <c r="G15" s="8">
        <v>0</v>
      </c>
      <c r="H15" s="8" t="s">
        <v>3</v>
      </c>
      <c r="I15" s="1"/>
    </row>
    <row r="16" spans="1:9" x14ac:dyDescent="0.25">
      <c r="A16" s="1"/>
      <c r="B16" s="109" t="s">
        <v>147</v>
      </c>
      <c r="C16" s="110"/>
      <c r="D16" s="110"/>
      <c r="E16" s="110"/>
      <c r="F16" s="111"/>
      <c r="G16" s="8">
        <v>0</v>
      </c>
      <c r="H16" s="8" t="s">
        <v>3</v>
      </c>
      <c r="I16" s="1"/>
    </row>
    <row r="17" spans="1:9" x14ac:dyDescent="0.25">
      <c r="A17" s="1"/>
      <c r="B17" s="109" t="s">
        <v>148</v>
      </c>
      <c r="C17" s="110"/>
      <c r="D17" s="110"/>
      <c r="E17" s="110"/>
      <c r="F17" s="111"/>
      <c r="G17" s="8">
        <v>0</v>
      </c>
      <c r="H17" s="8" t="s">
        <v>3</v>
      </c>
      <c r="I17" s="1"/>
    </row>
    <row r="18" spans="1:9" x14ac:dyDescent="0.25">
      <c r="A18" s="1"/>
      <c r="B18" s="112" t="s">
        <v>126</v>
      </c>
      <c r="C18" s="113"/>
      <c r="D18" s="113"/>
      <c r="E18" s="113"/>
      <c r="F18" s="114"/>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7lydCvQFcP6uGL2Fq1K4m4sPGLbroAenEZ7EuJvcLMG7VmZoaQVqGLtUGIX63nYjGMnkFl4+pfaeswk02eTbCQ==" saltValue="blX4wNsSzVA1uiLrIpggz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Mads Frandsen</cp:lastModifiedBy>
  <cp:lastPrinted>2016-06-14T12:57:30Z</cp:lastPrinted>
  <dcterms:created xsi:type="dcterms:W3CDTF">2016-06-02T08:51:18Z</dcterms:created>
  <dcterms:modified xsi:type="dcterms:W3CDTF">2023-09-26T12:57:11Z</dcterms:modified>
</cp:coreProperties>
</file>