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FV Vand AS (V05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5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4" i="32"/>
  <c r="E40" i="32" s="1"/>
  <c r="E43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9" i="2"/>
  <c r="E29" i="2" s="1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l="1"/>
  <c r="E16" i="2" s="1"/>
  <c r="E17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<sst xmlns="http://schemas.openxmlformats.org/spreadsheetml/2006/main" count="417" uniqueCount="162">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</sst>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3" t="s">
        <v>131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83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132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37</v>
      </c>
      <c r="D15" s="58" t="s">
        <v>47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38</v>
      </c>
      <c r="D16" s="58" t="s">
        <v>84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79</v>
      </c>
      <c r="D17" s="58" t="s">
        <v>85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55" t="s">
        <v>12</v>
      </c>
      <c r="E18" s="56"/>
      <c r="F18" s="56"/>
      <c r="G18" s="57"/>
      <c r="H18" s="1"/>
      <c r="I18" s="1"/>
    </row>
    <row r="19" spans="1:9" x14ac:dyDescent="0.45">
      <c r="A19" s="1"/>
      <c r="B19" s="1"/>
      <c r="C19" s="6" t="s">
        <v>8</v>
      </c>
      <c r="D19" s="49" t="s">
        <v>86</v>
      </c>
      <c r="E19" s="50"/>
      <c r="F19" s="50"/>
      <c r="G19" s="51"/>
      <c r="H19" s="1"/>
      <c r="I19" s="1"/>
    </row>
    <row r="20" spans="1:9" x14ac:dyDescent="0.45">
      <c r="A20" s="1"/>
      <c r="B20" s="1"/>
      <c r="C20" s="6" t="s">
        <v>74</v>
      </c>
      <c r="D20" s="49" t="s">
        <v>39</v>
      </c>
      <c r="E20" s="50"/>
      <c r="F20" s="50"/>
      <c r="G20" s="51"/>
      <c r="H20" s="1"/>
      <c r="I20" s="1"/>
    </row>
    <row r="21" spans="1:9" x14ac:dyDescent="0.45">
      <c r="A21" s="1"/>
      <c r="B21" s="1"/>
      <c r="C21" s="6" t="s">
        <v>121</v>
      </c>
      <c r="D21" s="49" t="s">
        <v>51</v>
      </c>
      <c r="E21" s="50"/>
      <c r="F21" s="50"/>
      <c r="G21" s="51"/>
      <c r="H21" s="1"/>
      <c r="I21" s="1"/>
    </row>
    <row r="22" spans="1:9" x14ac:dyDescent="0.45">
      <c r="A22" s="1"/>
      <c r="B22" s="1"/>
      <c r="C22" s="6" t="s">
        <v>122</v>
      </c>
      <c r="D22" s="49" t="s">
        <v>52</v>
      </c>
      <c r="E22" s="50"/>
      <c r="F22" s="50"/>
      <c r="G22" s="51"/>
      <c r="H22" s="1"/>
      <c r="I22" s="1"/>
    </row>
    <row r="23" spans="1:9" x14ac:dyDescent="0.45">
      <c r="A23" s="1"/>
      <c r="B23" s="1"/>
      <c r="C23" s="6" t="s">
        <v>123</v>
      </c>
      <c r="D23" s="49" t="s">
        <v>87</v>
      </c>
      <c r="E23" s="50"/>
      <c r="F23" s="50"/>
      <c r="G23" s="51"/>
      <c r="H23" s="1"/>
      <c r="I23" s="1"/>
    </row>
    <row r="24" spans="1:9" x14ac:dyDescent="0.45">
      <c r="A24" s="1"/>
      <c r="B24" s="1"/>
      <c r="C24" s="6" t="s">
        <v>9</v>
      </c>
      <c r="D24" s="49" t="s">
        <v>40</v>
      </c>
      <c r="E24" s="50"/>
      <c r="F24" s="50"/>
      <c r="G24" s="51"/>
      <c r="H24" s="1"/>
      <c r="I24" s="1"/>
    </row>
    <row r="25" spans="1:9" x14ac:dyDescent="0.45">
      <c r="A25" s="1"/>
      <c r="B25" s="1"/>
      <c r="C25" s="6" t="s">
        <v>61</v>
      </c>
      <c r="D25" s="52" t="s">
        <v>75</v>
      </c>
      <c r="E25" s="53"/>
      <c r="F25" s="53"/>
      <c r="G25" s="54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JEnIyhJgmDaPuXCrunqf8mBmGCU/sDAZkQRooueii5MsvTY96WUosAQq79vaUNvH+RDvC3inJWmDmfKAin/HA==" saltValue="4vxHK9gnbGG+RpnbzOW+KA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7" t="s">
        <v>48</v>
      </c>
      <c r="C8" s="22"/>
      <c r="D8" s="22"/>
      <c r="E8" s="22"/>
      <c r="F8" s="48"/>
      <c r="G8" s="1"/>
    </row>
    <row r="9" spans="1:7" ht="17.25" customHeight="1" x14ac:dyDescent="0.45">
      <c r="A9" s="1"/>
      <c r="B9" s="36" t="s">
        <v>16</v>
      </c>
      <c r="C9" s="36" t="s">
        <v>11</v>
      </c>
      <c r="D9" s="37"/>
      <c r="E9" s="36" t="s">
        <v>31</v>
      </c>
      <c r="F9" s="46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7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7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PszTlY+y8YlmPctFgA7N8s6G/2xMQesv1s/SRctKXAMDMSxD8Zlx2TwgwTUVyZt/WOJre4ZGzWOSbXrgTXUqUw==" saltValue="kzYkaVoNaR9rTpu86ka5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65</v>
      </c>
      <c r="C8" s="83"/>
      <c r="D8" s="83"/>
      <c r="E8" s="83"/>
      <c r="F8" s="84"/>
      <c r="G8" s="1"/>
    </row>
    <row r="9" spans="1:7" x14ac:dyDescent="0.45">
      <c r="A9" s="1"/>
      <c r="B9" s="36" t="s">
        <v>16</v>
      </c>
      <c r="C9" s="36" t="s">
        <v>11</v>
      </c>
      <c r="D9" s="37"/>
      <c r="E9" s="36" t="s">
        <v>31</v>
      </c>
      <c r="F9" s="46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7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7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2" t="s">
        <v>66</v>
      </c>
      <c r="C15" s="83"/>
      <c r="D15" s="83"/>
      <c r="E15" s="83"/>
      <c r="F15" s="84"/>
      <c r="G15" s="1"/>
    </row>
    <row r="16" spans="1:7" x14ac:dyDescent="0.45">
      <c r="A16" s="1"/>
      <c r="B16" s="36" t="s">
        <v>16</v>
      </c>
      <c r="C16" s="36" t="s">
        <v>11</v>
      </c>
      <c r="D16" s="37"/>
      <c r="E16" s="36" t="s">
        <v>31</v>
      </c>
      <c r="F16" s="46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7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7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2" t="s">
        <v>67</v>
      </c>
      <c r="C22" s="83"/>
      <c r="D22" s="83"/>
      <c r="E22" s="83"/>
      <c r="F22" s="84"/>
      <c r="G22" s="1"/>
    </row>
    <row r="23" spans="1:7" x14ac:dyDescent="0.45">
      <c r="A23" s="1"/>
      <c r="B23" s="36" t="s">
        <v>16</v>
      </c>
      <c r="C23" s="36" t="s">
        <v>11</v>
      </c>
      <c r="D23" s="37"/>
      <c r="E23" s="36" t="s">
        <v>31</v>
      </c>
      <c r="F23" s="46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7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7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2" t="s">
        <v>114</v>
      </c>
      <c r="C29" s="83"/>
      <c r="D29" s="83"/>
      <c r="E29" s="83"/>
      <c r="F29" s="84"/>
      <c r="G29" s="1"/>
    </row>
    <row r="30" spans="1:7" x14ac:dyDescent="0.45">
      <c r="A30" s="1"/>
      <c r="B30" s="36" t="s">
        <v>16</v>
      </c>
      <c r="C30" s="36" t="s">
        <v>11</v>
      </c>
      <c r="D30" s="37"/>
      <c r="E30" s="36" t="s">
        <v>31</v>
      </c>
      <c r="F30" s="46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7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7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+K2Fd5/dNVBFj1ZJwYFYebJY6l179lOG5QguYWMSKLy0VxYC7He9AB65F1VMlGPZaaSxeZkDkCaXiVKTPcwe8Q==" saltValue="dqbqVXJBaTfTXfH7m1Qjy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142</v>
      </c>
      <c r="C3" s="66"/>
      <c r="D3" s="66"/>
      <c r="E3" s="66"/>
      <c r="F3" s="66"/>
      <c r="G3" s="1"/>
    </row>
    <row r="4" spans="1:7" ht="25.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45">
      <c r="A9" s="1"/>
      <c r="B9" s="45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J5bypprw1cQIcR9dhyzrcdX7KVyZLm1B7FSIRvCjIjlbIwB7HMojnLCFbodZ8AjRWqQgw0t5ddQkluhE6sW0JQ==" saltValue="8BNuqGrTMfbsXI4k1F8P5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143</v>
      </c>
      <c r="C3" s="66"/>
      <c r="D3" s="66"/>
      <c r="E3" s="66"/>
      <c r="F3" s="66"/>
      <c r="G3" s="1"/>
    </row>
    <row r="4" spans="1:7" ht="25.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45">
      <c r="A9" s="1"/>
      <c r="B9" s="45" t="s">
        <v>17</v>
      </c>
      <c r="C9" s="45" t="s">
        <v>11</v>
      </c>
      <c r="D9" s="46"/>
      <c r="E9" s="45" t="s">
        <v>31</v>
      </c>
      <c r="F9" s="46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7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7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2" t="s">
        <v>58</v>
      </c>
      <c r="C14" s="83"/>
      <c r="D14" s="83"/>
      <c r="E14" s="83"/>
      <c r="F14" s="84"/>
      <c r="G14" s="1"/>
    </row>
    <row r="15" spans="1:7" x14ac:dyDescent="0.45">
      <c r="A15" s="1"/>
      <c r="B15" s="45" t="s">
        <v>17</v>
      </c>
      <c r="C15" s="45" t="s">
        <v>11</v>
      </c>
      <c r="D15" s="46"/>
      <c r="E15" s="45" t="s">
        <v>31</v>
      </c>
      <c r="F15" s="46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7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7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2" t="s">
        <v>60</v>
      </c>
      <c r="C20" s="83"/>
      <c r="D20" s="83"/>
      <c r="E20" s="83"/>
      <c r="F20" s="84"/>
      <c r="G20" s="1"/>
    </row>
    <row r="21" spans="1:7" x14ac:dyDescent="0.45">
      <c r="A21" s="1"/>
      <c r="B21" s="45" t="s">
        <v>17</v>
      </c>
      <c r="C21" s="45" t="s">
        <v>11</v>
      </c>
      <c r="D21" s="46"/>
      <c r="E21" s="45" t="s">
        <v>31</v>
      </c>
      <c r="F21" s="46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7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7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2" t="s">
        <v>109</v>
      </c>
      <c r="C26" s="83"/>
      <c r="D26" s="83"/>
      <c r="E26" s="83"/>
      <c r="F26" s="84"/>
      <c r="G26" s="1"/>
    </row>
    <row r="27" spans="1:7" x14ac:dyDescent="0.45">
      <c r="A27" s="1"/>
      <c r="B27" s="45" t="s">
        <v>17</v>
      </c>
      <c r="C27" s="45" t="s">
        <v>11</v>
      </c>
      <c r="D27" s="46"/>
      <c r="E27" s="45" t="s">
        <v>31</v>
      </c>
      <c r="F27" s="46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7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7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VLj446c/l2tbqY1y7Q046VLVMqblbv8JH5noFqqv+PHKINLFMmU6fOqFJoQCOve++rWOOhG0YWIUaYOKRNdY3w==" saltValue="8jfeeiicfN9HZqQXdtLlh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6" t="s">
        <v>144</v>
      </c>
      <c r="C3" s="66"/>
      <c r="D3" s="1"/>
    </row>
    <row r="4" spans="1:4" ht="25.5" customHeight="1" x14ac:dyDescent="0.45">
      <c r="A4" s="1"/>
      <c r="B4" s="66"/>
      <c r="C4" s="6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7" t="s">
        <v>14</v>
      </c>
      <c r="C8" s="48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7"/>
      <c r="C14" s="4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7" t="s">
        <v>72</v>
      </c>
      <c r="C17" s="48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4"/>
      <c r="C19" s="95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fLm5iIRzO+C0vjVrG1SOWaGYs4WktmYYbxTcsMCCPSa2qIxiDtlChp1wuRZ5Kk+UdKUWD8tDZrnDs5Xf3L4rzw==" saltValue="dV3ty4Tm6auAgfiR43NmGA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3" t="s">
        <v>26</v>
      </c>
      <c r="C9" s="43"/>
      <c r="D9" s="43"/>
      <c r="E9" s="7">
        <f>'Fane 3. Omkostninger i ØR2020'!E16</f>
        <v>9492489.7823638096</v>
      </c>
      <c r="F9" s="43" t="s">
        <v>3</v>
      </c>
      <c r="G9" s="1"/>
    </row>
    <row r="10" spans="1:7" x14ac:dyDescent="0.45">
      <c r="A10" s="1"/>
      <c r="B10" s="43" t="s">
        <v>158</v>
      </c>
      <c r="C10" s="43"/>
      <c r="D10" s="43"/>
      <c r="E10" s="7">
        <v>-5440.3714952132559</v>
      </c>
      <c r="F10" s="43" t="s">
        <v>3</v>
      </c>
      <c r="G10" s="1"/>
    </row>
    <row r="11" spans="1:7" ht="17.100000000000001" customHeight="1" x14ac:dyDescent="0.45">
      <c r="A11" s="1"/>
      <c r="B11" s="43" t="s">
        <v>120</v>
      </c>
      <c r="C11" s="43"/>
      <c r="D11" s="43"/>
      <c r="E11" s="7">
        <v>86555.400648093957</v>
      </c>
      <c r="F11" s="43" t="s">
        <v>3</v>
      </c>
      <c r="G11" s="1"/>
    </row>
    <row r="12" spans="1:7" ht="17.100000000000001" customHeight="1" x14ac:dyDescent="0.45">
      <c r="A12" s="1"/>
      <c r="B12" s="27" t="s">
        <v>80</v>
      </c>
      <c r="C12" s="43"/>
      <c r="D12" s="43"/>
      <c r="E12" s="7">
        <f>'Fane 7.1. Varige tillæg'!C12+'Fane 7.1. Varige tillæg'!E12</f>
        <v>0</v>
      </c>
      <c r="F12" s="43" t="s">
        <v>3</v>
      </c>
      <c r="G12" s="1"/>
    </row>
    <row r="13" spans="1:7" ht="17.100000000000001" customHeight="1" x14ac:dyDescent="0.45">
      <c r="A13" s="1"/>
      <c r="B13" s="27" t="s">
        <v>82</v>
      </c>
      <c r="C13" s="43"/>
      <c r="D13" s="43"/>
      <c r="E13" s="8">
        <f>-('Fane 9. Bortfald'!C12+'Fane 9. Bortfald'!E12)</f>
        <v>0</v>
      </c>
      <c r="F13" s="43" t="s">
        <v>3</v>
      </c>
      <c r="G13" s="1"/>
    </row>
    <row r="14" spans="1:7" ht="17.100000000000001" customHeight="1" x14ac:dyDescent="0.45">
      <c r="A14" s="1"/>
      <c r="B14" s="27" t="s">
        <v>89</v>
      </c>
      <c r="C14" s="43"/>
      <c r="D14" s="43"/>
      <c r="E14" s="8">
        <f>'Fane 8. Tilknyttet virksomhed'!C12+'Fane 8. Tilknyttet virksomhed'!E12</f>
        <v>0</v>
      </c>
      <c r="F14" s="43" t="s">
        <v>3</v>
      </c>
      <c r="G14" s="1"/>
    </row>
    <row r="15" spans="1:7" ht="17.100000000000001" customHeight="1" x14ac:dyDescent="0.45">
      <c r="A15" s="1"/>
      <c r="B15" s="27" t="s">
        <v>18</v>
      </c>
      <c r="C15" s="43"/>
      <c r="D15" s="43"/>
      <c r="E15" s="8">
        <f>SUM(E9:E14)*'Fane 10. Nøgletal'!C13</f>
        <v>116797.97870050363</v>
      </c>
      <c r="F15" s="43" t="s">
        <v>3</v>
      </c>
      <c r="G15" s="1"/>
    </row>
    <row r="16" spans="1:7" ht="17.100000000000001" customHeight="1" x14ac:dyDescent="0.45">
      <c r="A16" s="1"/>
      <c r="B16" s="27" t="s">
        <v>72</v>
      </c>
      <c r="C16" s="43"/>
      <c r="D16" s="43"/>
      <c r="E16" s="8">
        <f>-SUM(E9:E15)*'Fane 10. Nøgletal'!C18</f>
        <v>-164736.84743369231</v>
      </c>
      <c r="F16" s="43" t="s">
        <v>3</v>
      </c>
      <c r="G16" s="1"/>
    </row>
    <row r="17" spans="1:7" ht="15" customHeight="1" x14ac:dyDescent="0.45">
      <c r="A17" s="1"/>
      <c r="B17" s="44" t="s">
        <v>20</v>
      </c>
      <c r="C17" s="39"/>
      <c r="D17" s="39"/>
      <c r="E17" s="9">
        <f>SUM(E9:E16)</f>
        <v>9525665.9427835029</v>
      </c>
      <c r="F17" s="41" t="s">
        <v>3</v>
      </c>
      <c r="G17" s="1"/>
    </row>
    <row r="18" spans="1:7" ht="15" customHeight="1" x14ac:dyDescent="0.45">
      <c r="A18" s="1"/>
      <c r="B18" s="40" t="s">
        <v>12</v>
      </c>
      <c r="C18" s="40"/>
      <c r="D18" s="40"/>
      <c r="E18" s="40"/>
      <c r="F18" s="40"/>
      <c r="G18" s="1"/>
    </row>
    <row r="19" spans="1:7" ht="15" customHeight="1" x14ac:dyDescent="0.45">
      <c r="A19" s="1"/>
      <c r="B19" s="41" t="s">
        <v>12</v>
      </c>
      <c r="C19" s="41"/>
      <c r="D19" s="41"/>
      <c r="E19" s="9">
        <f>'Fane 4. Ikke-påvirkelige omk.'!C15</f>
        <v>4370991.7764249947</v>
      </c>
      <c r="F19" s="41" t="s">
        <v>3</v>
      </c>
      <c r="G19" s="1"/>
    </row>
    <row r="20" spans="1:7" ht="15" customHeight="1" x14ac:dyDescent="0.45">
      <c r="A20" s="1"/>
      <c r="B20" s="40" t="s">
        <v>52</v>
      </c>
      <c r="C20" s="40"/>
      <c r="D20" s="40"/>
      <c r="E20" s="40"/>
      <c r="F20" s="40"/>
      <c r="G20" s="1"/>
    </row>
    <row r="21" spans="1:7" ht="15" customHeight="1" x14ac:dyDescent="0.45">
      <c r="A21" s="1"/>
      <c r="B21" s="27" t="s">
        <v>49</v>
      </c>
      <c r="C21" s="43"/>
      <c r="D21" s="43"/>
      <c r="E21" s="8">
        <f>'Fane 7.2. Engangstillæg'!C13</f>
        <v>0</v>
      </c>
      <c r="F21" s="43" t="s">
        <v>3</v>
      </c>
      <c r="G21" s="1"/>
    </row>
    <row r="22" spans="1:7" x14ac:dyDescent="0.45">
      <c r="A22" s="1"/>
      <c r="B22" s="27" t="s">
        <v>50</v>
      </c>
      <c r="C22" s="43"/>
      <c r="D22" s="43"/>
      <c r="E22" s="8">
        <f>'Fane 7.2. Engangstillæg'!E13</f>
        <v>0</v>
      </c>
      <c r="F22" s="43" t="s">
        <v>3</v>
      </c>
      <c r="G22" s="1"/>
    </row>
    <row r="23" spans="1:7" ht="15" customHeight="1" x14ac:dyDescent="0.45">
      <c r="A23" s="1"/>
      <c r="B23" s="44" t="s">
        <v>53</v>
      </c>
      <c r="C23" s="39"/>
      <c r="D23" s="39"/>
      <c r="E23" s="9">
        <f>SUM(E21:E22)</f>
        <v>0</v>
      </c>
      <c r="F23" s="41" t="s">
        <v>3</v>
      </c>
      <c r="G23" s="1"/>
    </row>
    <row r="24" spans="1:7" x14ac:dyDescent="0.45">
      <c r="A24" s="1"/>
      <c r="B24" s="40" t="s">
        <v>124</v>
      </c>
      <c r="C24" s="40"/>
      <c r="D24" s="40"/>
      <c r="E24" s="40"/>
      <c r="F24" s="40"/>
      <c r="G24" s="1"/>
    </row>
    <row r="25" spans="1:7" x14ac:dyDescent="0.45">
      <c r="A25" s="1"/>
      <c r="B25" s="44" t="s">
        <v>36</v>
      </c>
      <c r="C25" s="39"/>
      <c r="D25" s="39"/>
      <c r="E25" s="9">
        <f>'Fane 5. Kontrol af ØR2019'!E42</f>
        <v>1431945.4624365466</v>
      </c>
      <c r="F25" s="41" t="s">
        <v>3</v>
      </c>
      <c r="G25" s="1"/>
    </row>
    <row r="26" spans="1:7" x14ac:dyDescent="0.45">
      <c r="A26" s="1"/>
      <c r="B26" s="32" t="s">
        <v>125</v>
      </c>
      <c r="C26" s="39"/>
      <c r="D26" s="39"/>
      <c r="E26" s="9">
        <f>'Fane 5. Kontrol af ØR2019'!E43</f>
        <v>0</v>
      </c>
      <c r="F26" s="41" t="s">
        <v>3</v>
      </c>
      <c r="G26" s="1"/>
    </row>
    <row r="27" spans="1:7" x14ac:dyDescent="0.45">
      <c r="A27" s="1"/>
      <c r="B27" s="40" t="s">
        <v>159</v>
      </c>
      <c r="C27" s="40"/>
      <c r="D27" s="40"/>
      <c r="E27" s="40"/>
      <c r="F27" s="40"/>
      <c r="G27" s="1"/>
    </row>
    <row r="28" spans="1:7" x14ac:dyDescent="0.45">
      <c r="A28" s="1"/>
      <c r="B28" s="32" t="s">
        <v>160</v>
      </c>
      <c r="C28" s="39"/>
      <c r="D28" s="39"/>
      <c r="E28" s="9">
        <v>378.91170398833316</v>
      </c>
      <c r="F28" s="41" t="s">
        <v>3</v>
      </c>
      <c r="G28" s="1"/>
    </row>
    <row r="29" spans="1:7" x14ac:dyDescent="0.45">
      <c r="A29" s="1"/>
      <c r="B29" s="40" t="s">
        <v>28</v>
      </c>
      <c r="C29" s="40"/>
      <c r="D29" s="40"/>
      <c r="E29" s="10">
        <f>SUM(E17,E19,E23,E25,E26,E28)</f>
        <v>15328982.093349032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f8Y3BuZEgfba9f3YQovl59J3Ft50nXi6oOW7jmPl/pxHpWlshfyOJ3JcRODhtVE8l4zLqNh2ULCZYbjavZhlPg==" saltValue="VXD47KKY3HuPFg/aOsrqb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3" t="s">
        <v>27</v>
      </c>
      <c r="C9" s="43"/>
      <c r="D9" s="43"/>
      <c r="E9" s="7">
        <f>'Fane 2.1. Økonomisk ramme 2021'!E17</f>
        <v>9525665.9427835029</v>
      </c>
      <c r="F9" s="43" t="s">
        <v>3</v>
      </c>
      <c r="G9" s="1"/>
    </row>
    <row r="10" spans="1:7" ht="15" customHeight="1" x14ac:dyDescent="0.45">
      <c r="A10" s="1"/>
      <c r="B10" s="27" t="s">
        <v>82</v>
      </c>
      <c r="C10" s="43"/>
      <c r="D10" s="43"/>
      <c r="E10" s="7">
        <f>-('Fane 9. Bortfald'!C18+'Fane 9. Bortfald'!E18)</f>
        <v>0</v>
      </c>
      <c r="F10" s="43" t="s">
        <v>3</v>
      </c>
      <c r="G10" s="1"/>
    </row>
    <row r="11" spans="1:7" ht="15" customHeight="1" x14ac:dyDescent="0.45">
      <c r="A11" s="1"/>
      <c r="B11" s="38" t="s">
        <v>18</v>
      </c>
      <c r="C11" s="43"/>
      <c r="D11" s="43"/>
      <c r="E11" s="8">
        <f>SUM(E9:E10)*'Fane 10. Nøgletal'!C13</f>
        <v>116213.12450195874</v>
      </c>
      <c r="F11" s="43" t="s">
        <v>3</v>
      </c>
      <c r="G11" s="1"/>
    </row>
    <row r="12" spans="1:7" ht="15" customHeight="1" x14ac:dyDescent="0.45">
      <c r="A12" s="1"/>
      <c r="B12" s="38" t="s">
        <v>72</v>
      </c>
      <c r="C12" s="43"/>
      <c r="D12" s="43"/>
      <c r="E12" s="8">
        <f>-SUM(E9:E11)*'Fane 10. Nøgletal'!C18</f>
        <v>-163911.94414385286</v>
      </c>
      <c r="F12" s="43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9477967.1231416091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omk.'!C15*(1+'Fane 10. Nøgletal'!C13)</f>
        <v>4424317.8760973793</v>
      </c>
      <c r="F15" s="41" t="s">
        <v>3</v>
      </c>
      <c r="G15" s="1"/>
    </row>
    <row r="16" spans="1:7" ht="15" customHeight="1" x14ac:dyDescent="0.45">
      <c r="A16" s="1"/>
      <c r="B16" s="40" t="s">
        <v>52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7" t="s">
        <v>49</v>
      </c>
      <c r="C17" s="43"/>
      <c r="D17" s="43"/>
      <c r="E17" s="8">
        <f>'Fane 7.2. Engangstillæg'!C20</f>
        <v>0</v>
      </c>
      <c r="F17" s="43" t="s">
        <v>3</v>
      </c>
      <c r="G17" s="1"/>
    </row>
    <row r="18" spans="1:7" ht="15" customHeight="1" x14ac:dyDescent="0.45">
      <c r="A18" s="1"/>
      <c r="B18" s="27" t="s">
        <v>50</v>
      </c>
      <c r="C18" s="43"/>
      <c r="D18" s="43"/>
      <c r="E18" s="8">
        <f>'Fane 7.2. Engangstillæg'!E20</f>
        <v>0</v>
      </c>
      <c r="F18" s="43" t="s">
        <v>3</v>
      </c>
      <c r="G18" s="1"/>
    </row>
    <row r="19" spans="1:7" ht="15" customHeight="1" x14ac:dyDescent="0.45">
      <c r="A19" s="1"/>
      <c r="B19" s="44" t="s">
        <v>53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124</v>
      </c>
      <c r="C20" s="40"/>
      <c r="D20" s="40"/>
      <c r="E20" s="40"/>
      <c r="F20" s="40"/>
      <c r="G20" s="1"/>
    </row>
    <row r="21" spans="1:7" ht="15" customHeight="1" x14ac:dyDescent="0.45">
      <c r="A21" s="1"/>
      <c r="B21" s="41" t="s">
        <v>36</v>
      </c>
      <c r="C21" s="41"/>
      <c r="D21" s="41"/>
      <c r="E21" s="9">
        <f>'Fane 5. Kontrol af ØR2019'!E42</f>
        <v>1431945.4624365466</v>
      </c>
      <c r="F21" s="41" t="s">
        <v>3</v>
      </c>
      <c r="G21" s="1"/>
    </row>
    <row r="22" spans="1:7" x14ac:dyDescent="0.45">
      <c r="A22" s="1"/>
      <c r="B22" s="44" t="s">
        <v>125</v>
      </c>
      <c r="C22" s="41"/>
      <c r="D22" s="41"/>
      <c r="E22" s="9">
        <f>'Fane 5. Kontrol af ØR2019'!E43</f>
        <v>0</v>
      </c>
      <c r="F22" s="41" t="s">
        <v>3</v>
      </c>
      <c r="G22" s="1"/>
    </row>
    <row r="23" spans="1:7" x14ac:dyDescent="0.45">
      <c r="A23" s="1"/>
      <c r="B23" s="40" t="s">
        <v>29</v>
      </c>
      <c r="C23" s="40"/>
      <c r="D23" s="40"/>
      <c r="E23" s="10">
        <f>SUM(E13,E15,E19,E21,E22)</f>
        <v>15334230.461675536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D0vwfTDLPe25xflMyuD0uPgPxismQz+OWD/l225YKa/1W0JRGN//3Cgp+YfxCDN0YkTUNKXVYBgWYspa1TYx2w==" saltValue="SnrtdCTlxKmMbTWOU1jh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3" t="s">
        <v>92</v>
      </c>
      <c r="C8" s="43"/>
      <c r="D8" s="43"/>
      <c r="E8" s="7">
        <f>'Fane 2.2. Økonomisk ramme 2022'!E13</f>
        <v>9477967.1231416091</v>
      </c>
      <c r="F8" s="43" t="s">
        <v>3</v>
      </c>
      <c r="G8" s="1"/>
    </row>
    <row r="9" spans="1:7" ht="15" customHeight="1" x14ac:dyDescent="0.45">
      <c r="A9" s="1"/>
      <c r="B9" s="43" t="s">
        <v>82</v>
      </c>
      <c r="C9" s="43"/>
      <c r="D9" s="43"/>
      <c r="E9" s="7">
        <f>-('Fane 9. Bortfald'!C24+'Fane 9. Bortfald'!E24)</f>
        <v>0</v>
      </c>
      <c r="F9" s="43" t="s">
        <v>3</v>
      </c>
      <c r="G9" s="1"/>
    </row>
    <row r="10" spans="1:7" ht="15" customHeight="1" x14ac:dyDescent="0.45">
      <c r="A10" s="1"/>
      <c r="B10" s="38" t="s">
        <v>18</v>
      </c>
      <c r="C10" s="43"/>
      <c r="D10" s="43"/>
      <c r="E10" s="8">
        <f>SUM(E8:E9)*'Fane 10. Nøgletal'!C13</f>
        <v>115631.19890232764</v>
      </c>
      <c r="F10" s="43" t="s">
        <v>3</v>
      </c>
      <c r="G10" s="1"/>
    </row>
    <row r="11" spans="1:7" ht="15" customHeight="1" x14ac:dyDescent="0.45">
      <c r="A11" s="1"/>
      <c r="B11" s="38" t="s">
        <v>72</v>
      </c>
      <c r="C11" s="43"/>
      <c r="D11" s="43"/>
      <c r="E11" s="8">
        <f>-SUM(E8:E10)*'Fane 10. Nøgletal'!C18</f>
        <v>-163091.17147474692</v>
      </c>
      <c r="F11" s="43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9430507.1505691893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omk.'!C15*(1+'Fane 10. Nøgletal'!C13)^2</f>
        <v>4478294.5541857677</v>
      </c>
      <c r="F14" s="41" t="s">
        <v>3</v>
      </c>
      <c r="G14" s="1"/>
    </row>
    <row r="15" spans="1:7" ht="15" customHeight="1" x14ac:dyDescent="0.4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7" t="s">
        <v>49</v>
      </c>
      <c r="C16" s="43"/>
      <c r="D16" s="43"/>
      <c r="E16" s="8">
        <f>'Fane 7.2. Engangstillæg'!C27</f>
        <v>0</v>
      </c>
      <c r="F16" s="43" t="s">
        <v>3</v>
      </c>
      <c r="G16" s="1"/>
    </row>
    <row r="17" spans="1:7" ht="15" customHeight="1" x14ac:dyDescent="0.45">
      <c r="A17" s="1"/>
      <c r="B17" s="27" t="s">
        <v>50</v>
      </c>
      <c r="C17" s="43"/>
      <c r="D17" s="43"/>
      <c r="E17" s="8">
        <f>'Fane 7.2. Engangstillæg'!E27</f>
        <v>0</v>
      </c>
      <c r="F17" s="43" t="s">
        <v>3</v>
      </c>
      <c r="G17" s="1"/>
    </row>
    <row r="18" spans="1:7" ht="15" customHeight="1" x14ac:dyDescent="0.45">
      <c r="A18" s="1"/>
      <c r="B18" s="44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57</v>
      </c>
      <c r="C19" s="40"/>
      <c r="D19" s="40"/>
      <c r="E19" s="10">
        <f>SUM(E12,E14,E18)</f>
        <v>13908801.704754956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JIpg4c9ApHTNEYnXxAVY+pJMc44Nvb+aJ9gfWf++TvZySjCrJJ/PzRy0/nJIABYonvzrLZGzJMG37NRDlbVhpw==" saltValue="FPSPaCCSPqKPsrTXyOOTn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3" t="s">
        <v>94</v>
      </c>
      <c r="C8" s="43"/>
      <c r="D8" s="43"/>
      <c r="E8" s="7">
        <f>'Fane 2.3. Økonomisk ramme 2023'!E12</f>
        <v>9430507.1505691893</v>
      </c>
      <c r="F8" s="43" t="s">
        <v>3</v>
      </c>
      <c r="G8" s="1"/>
    </row>
    <row r="9" spans="1:7" ht="15" customHeight="1" x14ac:dyDescent="0.45">
      <c r="A9" s="1"/>
      <c r="B9" s="43" t="s">
        <v>82</v>
      </c>
      <c r="C9" s="43"/>
      <c r="D9" s="43"/>
      <c r="E9" s="7">
        <f>-('Fane 9. Bortfald'!C30+'Fane 9. Bortfald'!E30)</f>
        <v>0</v>
      </c>
      <c r="F9" s="43" t="s">
        <v>3</v>
      </c>
      <c r="G9" s="1"/>
    </row>
    <row r="10" spans="1:7" ht="15" customHeight="1" x14ac:dyDescent="0.45">
      <c r="A10" s="1"/>
      <c r="B10" s="38" t="s">
        <v>18</v>
      </c>
      <c r="C10" s="43"/>
      <c r="D10" s="43"/>
      <c r="E10" s="8">
        <f>SUM(E8:E9)*'Fane 10. Nøgletal'!C13</f>
        <v>115052.18723694411</v>
      </c>
      <c r="F10" s="43" t="s">
        <v>3</v>
      </c>
      <c r="G10" s="1"/>
    </row>
    <row r="11" spans="1:7" ht="15" customHeight="1" x14ac:dyDescent="0.45">
      <c r="A11" s="1"/>
      <c r="B11" s="38" t="s">
        <v>72</v>
      </c>
      <c r="C11" s="43"/>
      <c r="D11" s="43"/>
      <c r="E11" s="8">
        <f>-SUM(E8:E10)*'Fane 10. Nøgletal'!C18</f>
        <v>-162274.50874270429</v>
      </c>
      <c r="F11" s="43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9383284.8290634286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omk.'!C15*(1+'Fane 10. Nøgletal'!C13)^3</f>
        <v>4532929.7477468345</v>
      </c>
      <c r="F14" s="41" t="s">
        <v>3</v>
      </c>
      <c r="G14" s="1"/>
    </row>
    <row r="15" spans="1:7" ht="15" customHeight="1" x14ac:dyDescent="0.45">
      <c r="A15" s="1"/>
      <c r="B15" s="40" t="s">
        <v>52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7" t="s">
        <v>49</v>
      </c>
      <c r="C16" s="43"/>
      <c r="D16" s="43"/>
      <c r="E16" s="8">
        <f>'Fane 7.2. Engangstillæg'!C34</f>
        <v>0</v>
      </c>
      <c r="F16" s="43" t="s">
        <v>3</v>
      </c>
      <c r="G16" s="1"/>
    </row>
    <row r="17" spans="1:7" ht="15" customHeight="1" x14ac:dyDescent="0.45">
      <c r="A17" s="1"/>
      <c r="B17" s="27" t="s">
        <v>50</v>
      </c>
      <c r="C17" s="43"/>
      <c r="D17" s="43"/>
      <c r="E17" s="8">
        <f>'Fane 7.2. Engangstillæg'!E34</f>
        <v>0</v>
      </c>
      <c r="F17" s="43" t="s">
        <v>3</v>
      </c>
      <c r="G17" s="1"/>
    </row>
    <row r="18" spans="1:7" ht="15" customHeight="1" x14ac:dyDescent="0.45">
      <c r="A18" s="1"/>
      <c r="B18" s="44" t="s">
        <v>53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95</v>
      </c>
      <c r="C19" s="40"/>
      <c r="D19" s="40"/>
      <c r="E19" s="10">
        <f>SUM(E12,E14,E18)</f>
        <v>13916214.576810263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XM3UglzFcdix9amwtiBwAQZqBBH2UXYNzwlDLaPxWmP/nikMA6mmf6hbbbOUlvMdXtPJ4o2FpPm7QhVwaj++jw==" saltValue="6E+cLU2vF77ZJHIv2vUYW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96</v>
      </c>
      <c r="C3" s="66"/>
      <c r="D3" s="66"/>
      <c r="E3" s="66"/>
      <c r="F3" s="66"/>
      <c r="G3" s="1"/>
    </row>
    <row r="4" spans="1:7" ht="29.2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97</v>
      </c>
      <c r="C8" s="40"/>
      <c r="D8" s="40"/>
      <c r="E8" s="40"/>
      <c r="F8" s="40"/>
      <c r="G8" s="1"/>
    </row>
    <row r="9" spans="1:7" x14ac:dyDescent="0.45">
      <c r="A9" s="1"/>
      <c r="B9" s="67" t="s">
        <v>24</v>
      </c>
      <c r="C9" s="67"/>
      <c r="D9" s="67"/>
      <c r="E9" s="7">
        <v>9535551.3788354937</v>
      </c>
      <c r="F9" s="43" t="s">
        <v>3</v>
      </c>
      <c r="G9" s="1"/>
    </row>
    <row r="10" spans="1:7" x14ac:dyDescent="0.45">
      <c r="A10" s="1"/>
      <c r="B10" s="68" t="s">
        <v>149</v>
      </c>
      <c r="C10" s="68"/>
      <c r="D10" s="68"/>
      <c r="E10" s="7">
        <v>0</v>
      </c>
      <c r="F10" s="43" t="s">
        <v>3</v>
      </c>
      <c r="G10" s="1"/>
    </row>
    <row r="11" spans="1:7" x14ac:dyDescent="0.45">
      <c r="A11" s="1"/>
      <c r="B11" s="68" t="s">
        <v>150</v>
      </c>
      <c r="C11" s="68"/>
      <c r="D11" s="68"/>
      <c r="E11" s="7">
        <v>0</v>
      </c>
      <c r="F11" s="43" t="s">
        <v>3</v>
      </c>
      <c r="G11" s="1"/>
    </row>
    <row r="12" spans="1:7" x14ac:dyDescent="0.45">
      <c r="A12" s="1"/>
      <c r="B12" s="68" t="s">
        <v>80</v>
      </c>
      <c r="C12" s="68"/>
      <c r="D12" s="68"/>
      <c r="E12" s="7">
        <v>0</v>
      </c>
      <c r="F12" s="43" t="s">
        <v>3</v>
      </c>
      <c r="G12" s="1"/>
    </row>
    <row r="13" spans="1:7" x14ac:dyDescent="0.45">
      <c r="A13" s="1"/>
      <c r="B13" s="68" t="s">
        <v>81</v>
      </c>
      <c r="C13" s="68"/>
      <c r="D13" s="68"/>
      <c r="E13" s="8">
        <v>0</v>
      </c>
      <c r="F13" s="43" t="s">
        <v>3</v>
      </c>
      <c r="G13" s="1"/>
    </row>
    <row r="14" spans="1:7" x14ac:dyDescent="0.4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121101.50251121077</v>
      </c>
      <c r="F14" s="43" t="s">
        <v>3</v>
      </c>
      <c r="G14" s="1"/>
    </row>
    <row r="15" spans="1:7" x14ac:dyDescent="0.45">
      <c r="A15" s="1"/>
      <c r="B15" s="68" t="s">
        <v>72</v>
      </c>
      <c r="C15" s="68"/>
      <c r="D15" s="68"/>
      <c r="E15" s="8">
        <f>-SUM(E9:E9,E12:E14)*'Fane 10. Nøgletal'!C18</f>
        <v>-164163.09898289398</v>
      </c>
      <c r="F15" s="43" t="s">
        <v>3</v>
      </c>
      <c r="G15" s="1"/>
    </row>
    <row r="16" spans="1:7" x14ac:dyDescent="0.45">
      <c r="A16" s="1"/>
      <c r="B16" s="73" t="s">
        <v>20</v>
      </c>
      <c r="C16" s="73"/>
      <c r="D16" s="73"/>
      <c r="E16" s="9">
        <f>SUM(E9,E12:E15)</f>
        <v>9492489.7823638096</v>
      </c>
      <c r="F16" s="41" t="s">
        <v>3</v>
      </c>
      <c r="G16" s="1"/>
    </row>
    <row r="17" spans="1:7" x14ac:dyDescent="0.45">
      <c r="A17" s="1"/>
      <c r="B17" s="74" t="s">
        <v>12</v>
      </c>
      <c r="C17" s="74"/>
      <c r="D17" s="74"/>
      <c r="E17" s="40"/>
      <c r="F17" s="40"/>
      <c r="G17" s="1"/>
    </row>
    <row r="18" spans="1:7" x14ac:dyDescent="0.45">
      <c r="A18" s="1"/>
      <c r="B18" s="75" t="s">
        <v>12</v>
      </c>
      <c r="C18" s="75"/>
      <c r="D18" s="75"/>
      <c r="E18" s="9">
        <v>4283412.2356954506</v>
      </c>
      <c r="F18" s="41" t="s">
        <v>3</v>
      </c>
      <c r="G18" s="1"/>
    </row>
    <row r="19" spans="1:7" x14ac:dyDescent="0.45">
      <c r="A19" s="1"/>
      <c r="B19" s="40" t="s">
        <v>52</v>
      </c>
      <c r="C19" s="40"/>
      <c r="D19" s="40"/>
      <c r="E19" s="40"/>
      <c r="F19" s="40"/>
      <c r="G19" s="1"/>
    </row>
    <row r="20" spans="1:7" ht="15.4" customHeight="1" x14ac:dyDescent="0.45">
      <c r="A20" s="1"/>
      <c r="B20" s="76" t="s">
        <v>49</v>
      </c>
      <c r="C20" s="77"/>
      <c r="D20" s="78"/>
      <c r="E20" s="31">
        <v>0</v>
      </c>
      <c r="F20" s="31" t="s">
        <v>3</v>
      </c>
      <c r="G20" s="1"/>
    </row>
    <row r="21" spans="1:7" ht="15.75" customHeight="1" x14ac:dyDescent="0.45">
      <c r="A21" s="1"/>
      <c r="B21" s="76" t="s">
        <v>50</v>
      </c>
      <c r="C21" s="77"/>
      <c r="D21" s="78"/>
      <c r="E21" s="31">
        <v>0</v>
      </c>
      <c r="F21" s="31" t="s">
        <v>3</v>
      </c>
      <c r="G21" s="1"/>
    </row>
    <row r="22" spans="1:7" x14ac:dyDescent="0.45">
      <c r="A22" s="1"/>
      <c r="B22" s="79" t="s">
        <v>53</v>
      </c>
      <c r="C22" s="80"/>
      <c r="D22" s="81"/>
      <c r="E22" s="9">
        <v>0</v>
      </c>
      <c r="F22" s="9" t="s">
        <v>3</v>
      </c>
      <c r="G22" s="1"/>
    </row>
    <row r="23" spans="1:7" x14ac:dyDescent="0.45">
      <c r="A23" s="1"/>
      <c r="B23" s="40" t="s">
        <v>145</v>
      </c>
      <c r="C23" s="40"/>
      <c r="D23" s="40"/>
      <c r="E23" s="40"/>
      <c r="F23" s="40"/>
      <c r="G23" s="1"/>
    </row>
    <row r="24" spans="1:7" ht="15.75" customHeight="1" x14ac:dyDescent="0.45">
      <c r="A24" s="1"/>
      <c r="B24" s="69" t="s">
        <v>146</v>
      </c>
      <c r="C24" s="70"/>
      <c r="D24" s="71"/>
      <c r="E24" s="9">
        <v>0</v>
      </c>
      <c r="F24" s="9" t="s">
        <v>3</v>
      </c>
      <c r="G24" s="1"/>
    </row>
    <row r="25" spans="1:7" x14ac:dyDescent="0.45">
      <c r="A25" s="1"/>
      <c r="B25" s="40" t="s">
        <v>147</v>
      </c>
      <c r="C25" s="40"/>
      <c r="D25" s="40"/>
      <c r="E25" s="40"/>
      <c r="F25" s="40"/>
      <c r="G25" s="1"/>
    </row>
    <row r="26" spans="1:7" ht="15.4" customHeight="1" x14ac:dyDescent="0.45">
      <c r="A26" s="1"/>
      <c r="B26" s="69" t="s">
        <v>148</v>
      </c>
      <c r="C26" s="70"/>
      <c r="D26" s="71"/>
      <c r="E26" s="9">
        <v>0</v>
      </c>
      <c r="F26" s="41" t="s">
        <v>3</v>
      </c>
      <c r="G26" s="1"/>
    </row>
    <row r="27" spans="1:7" x14ac:dyDescent="0.45">
      <c r="A27" s="1"/>
      <c r="B27" s="40" t="s">
        <v>25</v>
      </c>
      <c r="C27" s="40"/>
      <c r="D27" s="40"/>
      <c r="E27" s="10">
        <f>E16+E18+E22+E24+E26</f>
        <v>13775902.018059261</v>
      </c>
      <c r="F27" s="11" t="s">
        <v>3</v>
      </c>
      <c r="G27" s="1"/>
    </row>
    <row r="28" spans="1:7" ht="28.5" customHeight="1" x14ac:dyDescent="0.45">
      <c r="A28" s="1"/>
      <c r="B28" s="72" t="s">
        <v>98</v>
      </c>
      <c r="C28" s="72"/>
      <c r="D28" s="72"/>
      <c r="E28" s="72"/>
      <c r="F28" s="7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vFV6jGOWjF1Ah3IGFSYYNFNxXS3+s69hsPOV2dyJb3nN2dZT3aVsqK8f1a3ERz6YZXQuMI0Z8SKK3WhIbVGsYA==" saltValue="Fr94tw1Jwijpu7RdGip7h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69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2" t="s">
        <v>99</v>
      </c>
      <c r="C8" s="83"/>
      <c r="D8" s="84"/>
      <c r="E8" s="1"/>
      <c r="F8" s="1"/>
    </row>
    <row r="9" spans="1:6" ht="15" customHeight="1" x14ac:dyDescent="0.45">
      <c r="A9" s="1"/>
      <c r="B9" s="17" t="s">
        <v>32</v>
      </c>
      <c r="C9" s="41" t="s">
        <v>100</v>
      </c>
      <c r="D9" s="41"/>
      <c r="E9" s="1"/>
      <c r="F9" s="1"/>
    </row>
    <row r="10" spans="1:6" x14ac:dyDescent="0.45">
      <c r="A10" s="1"/>
      <c r="B10" s="26" t="s">
        <v>154</v>
      </c>
      <c r="C10" s="8">
        <v>4205059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13307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36387</v>
      </c>
      <c r="D12" s="12" t="s">
        <v>3</v>
      </c>
      <c r="E12" s="1"/>
      <c r="F12" s="1"/>
    </row>
    <row r="13" spans="1:6" x14ac:dyDescent="0.45">
      <c r="A13" s="1"/>
      <c r="B13" s="33" t="s">
        <v>161</v>
      </c>
      <c r="C13" s="8">
        <v>11507.041273380346</v>
      </c>
      <c r="D13" s="12" t="s">
        <v>3</v>
      </c>
      <c r="E13" s="1"/>
      <c r="F13" s="1"/>
    </row>
    <row r="14" spans="1:6" x14ac:dyDescent="0.45">
      <c r="A14" s="1"/>
      <c r="B14" s="47" t="s">
        <v>101</v>
      </c>
      <c r="C14" s="10">
        <f>SUM(C10:C13)</f>
        <v>4266260.0412733806</v>
      </c>
      <c r="D14" s="11" t="s">
        <v>3</v>
      </c>
      <c r="E14" s="1"/>
      <c r="F14" s="1"/>
    </row>
    <row r="15" spans="1:6" x14ac:dyDescent="0.45">
      <c r="A15" s="1"/>
      <c r="B15" s="47" t="s">
        <v>102</v>
      </c>
      <c r="C15" s="10">
        <f>C14*(1+'Fane 10. Nøgletal'!C13)^2</f>
        <v>4370991.7764249947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boNHm09jExxrBXMTAd9Zz4DC9n8SBfRa6bazRtPZwdYLWf17ZSWqBfeB9ymoxSGlOehYVv/aXh8dhL+Z8ZP8Bw==" saltValue="GLClrgyf0K7mdU0ODEDXI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6" t="s">
        <v>116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ht="15" customHeight="1" x14ac:dyDescent="0.45">
      <c r="A5" s="1"/>
      <c r="B5" s="42"/>
      <c r="C5" s="42"/>
      <c r="D5" s="42"/>
      <c r="E5" s="42"/>
      <c r="F5" s="42"/>
      <c r="G5" s="1"/>
    </row>
    <row r="6" spans="1:7" ht="15" customHeight="1" x14ac:dyDescent="0.4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45">
      <c r="A7" s="1"/>
      <c r="B7" s="91" t="s">
        <v>34</v>
      </c>
      <c r="C7" s="91"/>
      <c r="D7" s="91"/>
      <c r="E7" s="8">
        <v>-424181.15460000001</v>
      </c>
      <c r="F7" s="12" t="s">
        <v>3</v>
      </c>
      <c r="G7" s="1"/>
    </row>
    <row r="8" spans="1:7" ht="15" customHeight="1" x14ac:dyDescent="0.45">
      <c r="A8" s="1"/>
      <c r="B8" s="91" t="s">
        <v>35</v>
      </c>
      <c r="C8" s="91"/>
      <c r="D8" s="91"/>
      <c r="E8" s="8">
        <v>3288072.0794730932</v>
      </c>
      <c r="F8" s="12" t="s">
        <v>3</v>
      </c>
      <c r="G8" s="1"/>
    </row>
    <row r="9" spans="1:7" ht="15" customHeight="1" x14ac:dyDescent="0.45">
      <c r="A9" s="1"/>
      <c r="B9" s="79" t="s">
        <v>76</v>
      </c>
      <c r="C9" s="80"/>
      <c r="D9" s="81"/>
      <c r="E9" s="9">
        <f>SUM(E7:E8)</f>
        <v>2863890.9248730931</v>
      </c>
      <c r="F9" s="15" t="s">
        <v>3</v>
      </c>
      <c r="G9" s="1"/>
    </row>
    <row r="10" spans="1:7" ht="15" customHeight="1" x14ac:dyDescent="0.45">
      <c r="A10" s="1"/>
      <c r="B10" s="82"/>
      <c r="C10" s="83"/>
      <c r="D10" s="83"/>
      <c r="E10" s="83"/>
      <c r="F10" s="84"/>
      <c r="G10" s="1"/>
    </row>
    <row r="11" spans="1:7" ht="27" customHeight="1" x14ac:dyDescent="0.45">
      <c r="A11" s="1"/>
      <c r="B11" s="72" t="s">
        <v>71</v>
      </c>
      <c r="C11" s="72"/>
      <c r="D11" s="72"/>
      <c r="E11" s="72"/>
      <c r="F11" s="72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5" t="s">
        <v>62</v>
      </c>
      <c r="C14" s="85"/>
      <c r="D14" s="85"/>
      <c r="E14" s="85"/>
      <c r="F14" s="85"/>
      <c r="G14" s="1"/>
    </row>
    <row r="15" spans="1:7" x14ac:dyDescent="0.45">
      <c r="A15" s="1"/>
      <c r="B15" s="91" t="s">
        <v>63</v>
      </c>
      <c r="C15" s="91"/>
      <c r="D15" s="91"/>
      <c r="E15" s="8">
        <v>16334965.822000001</v>
      </c>
      <c r="F15" s="12" t="s">
        <v>3</v>
      </c>
      <c r="G15" s="1"/>
    </row>
    <row r="16" spans="1:7" x14ac:dyDescent="0.45">
      <c r="A16" s="1"/>
      <c r="B16" s="91" t="s">
        <v>64</v>
      </c>
      <c r="C16" s="91"/>
      <c r="D16" s="91"/>
      <c r="E16" s="8">
        <v>12521377</v>
      </c>
      <c r="F16" s="12" t="s">
        <v>3</v>
      </c>
      <c r="G16" s="1"/>
    </row>
    <row r="17" spans="1:7" x14ac:dyDescent="0.45">
      <c r="A17" s="1"/>
      <c r="B17" s="91" t="s">
        <v>33</v>
      </c>
      <c r="C17" s="91"/>
      <c r="D17" s="91"/>
      <c r="E17" s="8">
        <v>0</v>
      </c>
      <c r="F17" s="12" t="s">
        <v>3</v>
      </c>
      <c r="G17" s="1"/>
    </row>
    <row r="18" spans="1:7" x14ac:dyDescent="0.45">
      <c r="A18" s="1"/>
      <c r="B18" s="86" t="s">
        <v>136</v>
      </c>
      <c r="C18" s="86"/>
      <c r="D18" s="86"/>
      <c r="E18" s="9">
        <f>E15-(E16-E17)</f>
        <v>3813588.8220000006</v>
      </c>
      <c r="F18" s="15" t="s">
        <v>3</v>
      </c>
      <c r="G18" s="1"/>
    </row>
    <row r="19" spans="1:7" x14ac:dyDescent="0.45">
      <c r="A19" s="1"/>
      <c r="B19" s="88"/>
      <c r="C19" s="89"/>
      <c r="D19" s="89"/>
      <c r="E19" s="89"/>
      <c r="F19" s="90"/>
      <c r="G19" s="1"/>
    </row>
    <row r="20" spans="1:7" ht="28.5" customHeight="1" x14ac:dyDescent="0.45">
      <c r="A20" s="1"/>
      <c r="B20" s="72" t="s">
        <v>70</v>
      </c>
      <c r="C20" s="72"/>
      <c r="D20" s="72"/>
      <c r="E20" s="72"/>
      <c r="F20" s="72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45">
      <c r="A23" s="1"/>
      <c r="B23" s="91" t="s">
        <v>45</v>
      </c>
      <c r="C23" s="91"/>
      <c r="D23" s="91"/>
      <c r="E23" s="8">
        <v>13130092.551924732</v>
      </c>
      <c r="F23" s="12" t="s">
        <v>3</v>
      </c>
      <c r="G23" s="1"/>
    </row>
    <row r="24" spans="1:7" ht="15" customHeight="1" x14ac:dyDescent="0.45">
      <c r="A24" s="1"/>
      <c r="B24" s="91" t="s">
        <v>46</v>
      </c>
      <c r="C24" s="91"/>
      <c r="D24" s="91"/>
      <c r="E24" s="8">
        <v>12835224</v>
      </c>
      <c r="F24" s="12" t="s">
        <v>3</v>
      </c>
      <c r="G24" s="1"/>
    </row>
    <row r="25" spans="1:7" ht="15" customHeight="1" x14ac:dyDescent="0.45">
      <c r="A25" s="1"/>
      <c r="B25" s="91" t="s">
        <v>33</v>
      </c>
      <c r="C25" s="91"/>
      <c r="D25" s="91"/>
      <c r="E25" s="8">
        <v>0</v>
      </c>
      <c r="F25" s="12" t="s">
        <v>3</v>
      </c>
      <c r="G25" s="1"/>
    </row>
    <row r="26" spans="1:7" x14ac:dyDescent="0.45">
      <c r="A26" s="1"/>
      <c r="B26" s="86" t="s">
        <v>137</v>
      </c>
      <c r="C26" s="86"/>
      <c r="D26" s="86"/>
      <c r="E26" s="9">
        <f>E23-(E24-E25)</f>
        <v>294868.55192473158</v>
      </c>
      <c r="F26" s="15" t="s">
        <v>3</v>
      </c>
      <c r="G26" s="1"/>
    </row>
    <row r="27" spans="1:7" x14ac:dyDescent="0.45">
      <c r="A27" s="1"/>
      <c r="B27" s="82"/>
      <c r="C27" s="83"/>
      <c r="D27" s="83"/>
      <c r="E27" s="83"/>
      <c r="F27" s="84"/>
      <c r="G27" s="1"/>
    </row>
    <row r="28" spans="1:7" ht="28.5" customHeight="1" x14ac:dyDescent="0.45">
      <c r="A28" s="1"/>
      <c r="B28" s="72" t="s">
        <v>126</v>
      </c>
      <c r="C28" s="72"/>
      <c r="D28" s="72"/>
      <c r="E28" s="72"/>
      <c r="F28" s="72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5" t="s">
        <v>127</v>
      </c>
      <c r="C30" s="85"/>
      <c r="D30" s="85"/>
      <c r="E30" s="85"/>
      <c r="F30" s="85"/>
      <c r="G30" s="1"/>
    </row>
    <row r="31" spans="1:7" x14ac:dyDescent="0.45">
      <c r="A31" s="1"/>
      <c r="B31" s="91" t="s">
        <v>128</v>
      </c>
      <c r="C31" s="91"/>
      <c r="D31" s="91"/>
      <c r="E31" s="8">
        <v>12736658.964142133</v>
      </c>
      <c r="F31" s="12" t="s">
        <v>3</v>
      </c>
      <c r="G31" s="1"/>
    </row>
    <row r="32" spans="1:7" x14ac:dyDescent="0.45">
      <c r="A32" s="1"/>
      <c r="B32" s="91" t="s">
        <v>129</v>
      </c>
      <c r="C32" s="91"/>
      <c r="D32" s="91"/>
      <c r="E32" s="8">
        <v>12780205</v>
      </c>
      <c r="F32" s="12" t="s">
        <v>3</v>
      </c>
      <c r="G32" s="1"/>
    </row>
    <row r="33" spans="1:7" x14ac:dyDescent="0.45">
      <c r="A33" s="1"/>
      <c r="B33" s="91" t="s">
        <v>33</v>
      </c>
      <c r="C33" s="91"/>
      <c r="D33" s="91"/>
      <c r="E33" s="8">
        <v>0</v>
      </c>
      <c r="F33" s="12" t="s">
        <v>3</v>
      </c>
      <c r="G33" s="1"/>
    </row>
    <row r="34" spans="1:7" x14ac:dyDescent="0.45">
      <c r="A34" s="1"/>
      <c r="B34" s="86" t="s">
        <v>138</v>
      </c>
      <c r="C34" s="86"/>
      <c r="D34" s="86"/>
      <c r="E34" s="9">
        <f>E31-(E32-E33)</f>
        <v>-43546.03585786745</v>
      </c>
      <c r="F34" s="15" t="s">
        <v>3</v>
      </c>
      <c r="G34" s="1"/>
    </row>
    <row r="35" spans="1:7" x14ac:dyDescent="0.45">
      <c r="A35" s="1"/>
      <c r="B35" s="82"/>
      <c r="C35" s="83"/>
      <c r="D35" s="83"/>
      <c r="E35" s="83"/>
      <c r="F35" s="84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5" t="s">
        <v>130</v>
      </c>
      <c r="C38" s="85"/>
      <c r="D38" s="85"/>
      <c r="E38" s="85"/>
      <c r="F38" s="85"/>
      <c r="G38" s="1"/>
    </row>
    <row r="39" spans="1:7" x14ac:dyDescent="0.45">
      <c r="A39" s="1"/>
      <c r="B39" s="87" t="s">
        <v>36</v>
      </c>
      <c r="C39" s="87"/>
      <c r="D39" s="87"/>
      <c r="E39" s="8">
        <f>E9</f>
        <v>2863890.9248730931</v>
      </c>
      <c r="F39" s="12" t="s">
        <v>3</v>
      </c>
      <c r="G39" s="1"/>
    </row>
    <row r="40" spans="1:7" x14ac:dyDescent="0.45">
      <c r="A40" s="1"/>
      <c r="B40" s="87" t="s">
        <v>135</v>
      </c>
      <c r="C40" s="87"/>
      <c r="D40" s="87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7" t="s">
        <v>73</v>
      </c>
      <c r="C41" s="87"/>
      <c r="D41" s="87"/>
      <c r="E41" s="8">
        <v>2</v>
      </c>
      <c r="F41" s="12" t="s">
        <v>19</v>
      </c>
      <c r="G41" s="1"/>
    </row>
    <row r="42" spans="1:7" x14ac:dyDescent="0.45">
      <c r="A42" s="1"/>
      <c r="B42" s="86" t="s">
        <v>133</v>
      </c>
      <c r="C42" s="86"/>
      <c r="D42" s="86"/>
      <c r="E42" s="9">
        <f>SUM(E39)/E41</f>
        <v>1431945.4624365466</v>
      </c>
      <c r="F42" s="15" t="s">
        <v>3</v>
      </c>
      <c r="G42" s="1"/>
    </row>
    <row r="43" spans="1:7" x14ac:dyDescent="0.4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45">
      <c r="A44" s="1"/>
      <c r="B44" s="85"/>
      <c r="C44" s="85"/>
      <c r="D44" s="85"/>
      <c r="E44" s="85"/>
      <c r="F44" s="85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k9hDv01G/GyRPTWNxTUa/eRSZ9BwpZpKbCg4uz2o7MVc1Enuyn1Q2KAxsYPKpmzlCM7ybXvGCec93h487sZZfQ==" saltValue="uPjMfoHbF9pJgraoypZUbA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30</v>
      </c>
      <c r="H9" s="46"/>
      <c r="I9" s="1"/>
    </row>
    <row r="10" spans="1:9" x14ac:dyDescent="0.45">
      <c r="A10" s="1"/>
      <c r="B10" s="34" t="s">
        <v>157</v>
      </c>
      <c r="C10" s="35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VUNBKVgsyrW464MxzexXgItDm0WVTvhex/9PCoqmoU0eE7aGkaCAXPSyXgP5xeWfC7QnpRXBaH9hyDGHsm/lQ==" saltValue="0277gqvU0ekACZpR58GzT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2020-10-13T10:32:59Z</dcterms:modified>
</cp:coreProperties>
</file>