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Thisted Drikkevand AS (V184)\ØR2023\"/>
    </mc:Choice>
  </mc:AlternateContent>
  <bookViews>
    <workbookView xWindow="3120" yWindow="990" windowWidth="12750" windowHeight="4620" tabRatio="872" firstSheet="10" activeTab="17"/>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11" i="37" l="1"/>
  <c r="E32" i="27" l="1"/>
  <c r="C19" i="23"/>
  <c r="C19" i="22"/>
  <c r="C19" i="15"/>
  <c r="C31" i="2"/>
  <c r="G18" i="40" l="1"/>
  <c r="E25" i="32" l="1"/>
  <c r="E29" i="32" s="1"/>
  <c r="E31" i="32" s="1"/>
  <c r="C17" i="15" l="1"/>
  <c r="C29" i="2"/>
  <c r="F10" i="11"/>
  <c r="E12" i="39" l="1"/>
  <c r="C12" i="39"/>
  <c r="E11" i="29"/>
  <c r="E12" i="29" s="1"/>
  <c r="C14" i="2" s="1"/>
  <c r="C11" i="29"/>
  <c r="J11" i="11"/>
  <c r="H11" i="11"/>
  <c r="C12" i="19"/>
  <c r="C13" i="19" l="1"/>
  <c r="F11" i="11" l="1"/>
  <c r="E10" i="37" s="1"/>
  <c r="C10" i="37"/>
  <c r="C13" i="37" s="1"/>
  <c r="C14" i="37" s="1"/>
  <c r="C15" i="23" l="1"/>
  <c r="C15" i="22" l="1"/>
  <c r="C15" i="15"/>
  <c r="C12" i="29"/>
  <c r="G36" i="36" l="1"/>
  <c r="G36" i="30"/>
  <c r="G6" i="30" l="1"/>
  <c r="E13" i="39" l="1"/>
  <c r="C13" i="39"/>
  <c r="C23" i="2" s="1"/>
  <c r="C25" i="2" s="1"/>
  <c r="G10" i="30" l="1"/>
  <c r="G12" i="30" s="1"/>
  <c r="E13" i="37" l="1"/>
  <c r="E14"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<sst xmlns="http://schemas.openxmlformats.org/spreadsheetml/2006/main" count="508" uniqueCount="252">
  <si>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</si>
  <si>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</si>
  <si>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</si>
  <si>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</si>
  <si>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</si>
  <si>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</si>
  <si>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</si>
  <si>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</si>
  <si>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</si>
  <si>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</si>
  <si>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</si>
  <si>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</si>
  <si>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</si>
  <si>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</si>
  <si>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</si>
  <si>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</si>
  <si>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</si>
  <si>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</si>
  <si>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</si>
  <si>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</si>
  <si>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</si>
  <si>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</si>
  <si>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</si>
  <si>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</si>
  <si>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</si>
  <si>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</si>
  <si>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</si>
  <si>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</si>
  <si>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</si>
  <si>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</si>
  <si>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</si>
  <si>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</si>
  <si>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</si>
  <si>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</si>
  <si>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</si>
  <si>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</si>
  <si>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</si>
  <si>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</si>
  <si>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</si>
  <si>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</si>
  <si>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</si>
  <si>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</si>
  <si>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</si>
  <si>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</si>
  <si>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</si>
  <si>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</si>
  <si>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</si>
  <si>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</si>
  <si>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</si>
  <si>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</si>
  <si>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</si>
  <si>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</si>
  <si>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</si>
  <si>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</si>
  <si>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</si>
  <si>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</si>
  <si>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</si>
  <si>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</si>
  <si>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</si>
  <si>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</si>
  <si>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</si>
  <si>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</si>
  <si>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</si>
  <si>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</si>
  <si>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</si>
  <si>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</si>
  <si>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</si>
  <si>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</si>
  <si>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</si>
  <si>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</si>
  <si>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</si>
  <si>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</si>
  <si>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</si>
  <si>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</si>
  <si>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</si>
  <si>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</si>
  <si>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</si>
  <si>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</si>
  <si>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</si>
  <si>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</si>
  <si>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</si>
  <si>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</si>
  <si>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</si>
  <si>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</si>
  <si>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</si>
  <si>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</si>
  <si>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</si>
  <si>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</si>
  <si>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</si>
  <si>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</si>
  <si>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</si>
  <si>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</si>
  <si>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</si>
  <si>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</si>
  <si>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</si>
  <si>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</si>
  <si>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</si>
  <si>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</si>
  <si>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</si>
  <si>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</si>
  <si>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</si>
  <si>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</si>
  <si>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</si>
  <si>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</si>
  <si>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</si>
  <si>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</si>
  <si>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</si>
  <si>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</si>
  <si>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</si>
  <si>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</si>
  <si>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</si>
  <si>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</si>
  <si>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</si>
  <si>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</si>
  <si>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</si>
  <si>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</si>
  <si>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</si>
  <si>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</si>
  <si>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</si>
  <si>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</si>
  <si>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</si>
  <si>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</si>
  <si>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</si>
  <si>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</si>
  <si>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</si>
  <si>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</si>
  <si>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</si>
  <si>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</si>
  <si>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</si>
  <si>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</si>
  <si>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</si>
  <si>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</si>
  <si>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</si>
  <si>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</si>
  <si>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</si>
  <si>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</si>
  <si>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</si>
  <si>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</si>
  <si>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</si>
  <si>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</si>
  <si>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</si>
  <si>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</si>
  <si>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</si>
  <si>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</si>
  <si>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</si>
  <si>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</si>
  <si>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</si>
  <si>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</si>
  <si>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</si>
  <si>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</si>
  <si>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</si>
  <si>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</si>
  <si>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</si>
  <si>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</si>
  <si>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</si>
  <si>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</si>
  <si>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</si>
  <si>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</si>
  <si>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</si>
  <si>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</si>
  <si>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</si>
  <si>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</si>
  <si>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</si>
  <si>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</si>
  <si>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</si>
  <si>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</si>
  <si>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</si>
  <si>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</si>
  <si>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</si>
  <si>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</si>
  <si>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</si>
  <si>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</si>
  <si>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</si>
  <si>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</si>
  <si>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</si>
  <si>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</si>
  <si>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</si>
  <si>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</si>
  <si>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</si>
  <si>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</si>
  <si>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</si>
  <si>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</si>
  <si>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</si>
  <si>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</si>
  <si>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</si>
  <si>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</si>
  <si>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</si>
  <si>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</si>
  <si>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</si>
  <si>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</si>
  <si>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</si>
  <si>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</si>
  <si>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</si>
  <si>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</si>
  <si>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</si>
  <si>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</si>
  <si>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</si>
  <si>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</si>
  <si>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</si>
  <si>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</si>
  <si>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</si>
  <si>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</si>
  <si>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</si>
  <si>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</si>
  <si>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</si>
  <si>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</si>
  <si>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</si>
  <si>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</si>
  <si>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</si>
  <si>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</si>
  <si>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</si>
  <si>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</si>
  <si>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</si>
  <si>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</si>
  <si>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</si>
  <si>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</si>
  <si>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</si>
  <si>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</si>
  <si>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</si>
  <si>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</si>
  <si>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</si>
  <si>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</si>
  <si>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</si>
  <si>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</si>
  <si>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</si>
  <si>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</si>
  <si>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</si>
  <si>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</si>
  <si>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</si>
  <si>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</si>
  <si>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</si>
  <si>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</si>
  <si>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</si>
  <si>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</si>
  <si>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</si>
  <si>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</si>
  <si>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</si>
  <si>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</si>
  <si>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</si>
  <si>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</si>
  <si>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</si>
  <si>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</si>
  <si>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</si>
  <si>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</si>
  <si>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</si>
  <si>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</si>
  <si>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</si>
  <si>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</si>
  <si>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Udvidelse af forsyningsområdet</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</si>
  <si>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</si>
  <si>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</si>
  <si>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Indvindingstilladelse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</si>
</sst>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1" xfId="0" applyFont="1" applyFill="1" applyBorder="1" applyAlignment="1" applyProtection="1">
      <alignment horizontal="left"/>
    </xf>
    <xf numFmtId="0" fontId="0" fillId="0" borderId="0" xfId="0" applyFill="1" applyAlignment="1" applyProtection="1">
      <alignment horizontal="righ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view="pageLayout" zoomScaleNormal="100" workbookViewId="0">
      <selection activeCell="D37" sqref="D37"/>
    </sheetView>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3" t="s">
        <v>194</v>
      </c>
      <c r="E8" s="103"/>
      <c r="F8" s="103"/>
      <c r="G8" s="10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2" t="s">
        <v>5</v>
      </c>
      <c r="E11" s="102"/>
      <c r="F11" s="102"/>
      <c r="G11" s="102"/>
      <c r="H11" s="5"/>
      <c r="I11" s="1"/>
    </row>
    <row r="12" spans="1:9" x14ac:dyDescent="0.25">
      <c r="A12" s="1"/>
      <c r="B12" s="1"/>
      <c r="C12" s="1"/>
      <c r="D12" s="1"/>
      <c r="E12" s="1"/>
      <c r="F12" s="1"/>
      <c r="G12" s="1"/>
      <c r="H12" s="1"/>
      <c r="I12" s="1"/>
    </row>
    <row r="13" spans="1:9" x14ac:dyDescent="0.25">
      <c r="A13" s="1"/>
      <c r="B13" s="1"/>
      <c r="C13" s="6" t="s">
        <v>6</v>
      </c>
      <c r="D13" s="98" t="s">
        <v>161</v>
      </c>
      <c r="E13" s="99"/>
      <c r="F13" s="99"/>
      <c r="G13" s="100"/>
      <c r="H13" s="1"/>
      <c r="I13" s="1"/>
    </row>
    <row r="14" spans="1:9" x14ac:dyDescent="0.25">
      <c r="A14" s="1"/>
      <c r="B14" s="1"/>
      <c r="C14" s="6" t="s">
        <v>14</v>
      </c>
      <c r="D14" s="98" t="s">
        <v>204</v>
      </c>
      <c r="E14" s="99"/>
      <c r="F14" s="99"/>
      <c r="G14" s="100"/>
      <c r="H14" s="1"/>
      <c r="I14" s="1"/>
    </row>
    <row r="15" spans="1:9" x14ac:dyDescent="0.25">
      <c r="A15" s="1"/>
      <c r="B15" s="1"/>
      <c r="C15" s="6" t="s">
        <v>32</v>
      </c>
      <c r="D15" s="98" t="s">
        <v>137</v>
      </c>
      <c r="E15" s="99"/>
      <c r="F15" s="99"/>
      <c r="G15" s="100"/>
      <c r="H15" s="1"/>
      <c r="I15" s="1"/>
    </row>
    <row r="16" spans="1:9" x14ac:dyDescent="0.25">
      <c r="A16" s="1"/>
      <c r="B16" s="1"/>
      <c r="C16" s="6" t="s">
        <v>33</v>
      </c>
      <c r="D16" s="98" t="s">
        <v>162</v>
      </c>
      <c r="E16" s="99"/>
      <c r="F16" s="99"/>
      <c r="G16" s="100"/>
      <c r="H16" s="1"/>
      <c r="I16" s="1"/>
    </row>
    <row r="17" spans="1:9" x14ac:dyDescent="0.25">
      <c r="A17" s="1"/>
      <c r="B17" s="1"/>
      <c r="C17" s="6" t="s">
        <v>110</v>
      </c>
      <c r="D17" s="98" t="s">
        <v>163</v>
      </c>
      <c r="E17" s="99"/>
      <c r="F17" s="99"/>
      <c r="G17" s="100"/>
      <c r="H17" s="1"/>
      <c r="I17" s="1"/>
    </row>
    <row r="18" spans="1:9" x14ac:dyDescent="0.25">
      <c r="A18" s="1"/>
      <c r="B18" s="1"/>
      <c r="C18" s="6" t="s">
        <v>94</v>
      </c>
      <c r="D18" s="104" t="s">
        <v>86</v>
      </c>
      <c r="E18" s="105"/>
      <c r="F18" s="105"/>
      <c r="G18" s="106"/>
      <c r="H18" s="1"/>
      <c r="I18" s="1"/>
    </row>
    <row r="19" spans="1:9" x14ac:dyDescent="0.25">
      <c r="A19" s="1"/>
      <c r="B19" s="1"/>
      <c r="C19" s="6" t="s">
        <v>95</v>
      </c>
      <c r="D19" s="104" t="s">
        <v>87</v>
      </c>
      <c r="E19" s="105"/>
      <c r="F19" s="105"/>
      <c r="G19" s="106"/>
      <c r="H19" s="1"/>
      <c r="I19" s="1"/>
    </row>
    <row r="20" spans="1:9" x14ac:dyDescent="0.25">
      <c r="A20" s="1"/>
      <c r="B20" s="1"/>
      <c r="C20" s="6" t="s">
        <v>7</v>
      </c>
      <c r="D20" s="104" t="s">
        <v>9</v>
      </c>
      <c r="E20" s="105"/>
      <c r="F20" s="105"/>
      <c r="G20" s="106"/>
      <c r="H20" s="1"/>
      <c r="I20" s="1"/>
    </row>
    <row r="21" spans="1:9" x14ac:dyDescent="0.25">
      <c r="A21" s="1"/>
      <c r="B21" s="1"/>
      <c r="C21" s="6" t="s">
        <v>96</v>
      </c>
      <c r="D21" s="95" t="s">
        <v>11</v>
      </c>
      <c r="E21" s="96"/>
      <c r="F21" s="96"/>
      <c r="G21" s="97"/>
      <c r="H21" s="1"/>
      <c r="I21" s="1"/>
    </row>
    <row r="22" spans="1:9" x14ac:dyDescent="0.25">
      <c r="A22" s="1"/>
      <c r="B22" s="1"/>
      <c r="C22" s="6" t="s">
        <v>78</v>
      </c>
      <c r="D22" s="89" t="s">
        <v>164</v>
      </c>
      <c r="E22" s="90"/>
      <c r="F22" s="90"/>
      <c r="G22" s="91"/>
      <c r="H22" s="1"/>
      <c r="I22" s="1"/>
    </row>
    <row r="23" spans="1:9" x14ac:dyDescent="0.25">
      <c r="A23" s="1"/>
      <c r="B23" s="1"/>
      <c r="C23" s="6" t="s">
        <v>8</v>
      </c>
      <c r="D23" s="89" t="s">
        <v>219</v>
      </c>
      <c r="E23" s="90"/>
      <c r="F23" s="90"/>
      <c r="G23" s="91"/>
      <c r="H23" s="1"/>
      <c r="I23" s="1"/>
    </row>
    <row r="24" spans="1:9" x14ac:dyDescent="0.25">
      <c r="A24" s="1"/>
      <c r="B24" s="1"/>
      <c r="C24" s="6" t="s">
        <v>215</v>
      </c>
      <c r="D24" s="89" t="s">
        <v>205</v>
      </c>
      <c r="E24" s="90"/>
      <c r="F24" s="90"/>
      <c r="G24" s="91"/>
      <c r="H24" s="1"/>
      <c r="I24" s="1"/>
    </row>
    <row r="25" spans="1:9" x14ac:dyDescent="0.25">
      <c r="A25" s="1"/>
      <c r="B25" s="1"/>
      <c r="C25" s="6" t="s">
        <v>216</v>
      </c>
      <c r="D25" s="89" t="s">
        <v>79</v>
      </c>
      <c r="E25" s="90"/>
      <c r="F25" s="90"/>
      <c r="G25" s="91"/>
      <c r="H25" s="1"/>
      <c r="I25" s="1"/>
    </row>
    <row r="26" spans="1:9" x14ac:dyDescent="0.25">
      <c r="A26" s="1"/>
      <c r="B26" s="1"/>
      <c r="C26" s="6" t="s">
        <v>217</v>
      </c>
      <c r="D26" s="89" t="s">
        <v>80</v>
      </c>
      <c r="E26" s="90"/>
      <c r="F26" s="90"/>
      <c r="G26" s="91"/>
      <c r="H26" s="1"/>
      <c r="I26" s="1"/>
    </row>
    <row r="27" spans="1:9" x14ac:dyDescent="0.25">
      <c r="A27" s="1"/>
      <c r="B27" s="1"/>
      <c r="C27" s="6" t="s">
        <v>97</v>
      </c>
      <c r="D27" s="89" t="s">
        <v>111</v>
      </c>
      <c r="E27" s="90"/>
      <c r="F27" s="90"/>
      <c r="G27" s="91"/>
      <c r="H27" s="1"/>
      <c r="I27" s="1"/>
    </row>
    <row r="28" spans="1:9" x14ac:dyDescent="0.25">
      <c r="A28" s="1"/>
      <c r="B28" s="1"/>
      <c r="C28" s="6" t="s">
        <v>91</v>
      </c>
      <c r="D28" s="89" t="s">
        <v>34</v>
      </c>
      <c r="E28" s="90"/>
      <c r="F28" s="90"/>
      <c r="G28" s="91"/>
      <c r="H28" s="1"/>
      <c r="I28" s="1"/>
    </row>
    <row r="29" spans="1:9" x14ac:dyDescent="0.25">
      <c r="A29" s="1"/>
      <c r="B29" s="1"/>
      <c r="C29" s="6" t="s">
        <v>218</v>
      </c>
      <c r="D29" s="92" t="s">
        <v>92</v>
      </c>
      <c r="E29" s="93"/>
      <c r="F29" s="93"/>
      <c r="G29" s="9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sheetData>
  <sheetProtection algorithmName="SHA-512" hashValue="+MlTd/wpv2yPxeTm+Iv0yrI+OVtR6fgDFuqbczZjhXkNe60A62sfbyPKmOz96dugsrbiFnrh02ZgYGuq7ctVUA==" saltValue="jX9aRfFntvIOswjjW0seh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election activeCell="G34" sqref="G34"/>
    </sheetView>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7" t="s">
        <v>100</v>
      </c>
      <c r="C3" s="107"/>
      <c r="D3" s="107"/>
      <c r="E3" s="1"/>
      <c r="F3" s="1"/>
    </row>
    <row r="4" spans="1:6" ht="15" customHeight="1" x14ac:dyDescent="0.25">
      <c r="A4" s="1"/>
      <c r="B4" s="107"/>
      <c r="C4" s="107"/>
      <c r="D4" s="10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0" t="s">
        <v>181</v>
      </c>
      <c r="C8" s="131"/>
      <c r="D8" s="132"/>
      <c r="E8" s="1"/>
      <c r="F8" s="1"/>
    </row>
    <row r="9" spans="1:6" ht="15" customHeight="1" x14ac:dyDescent="0.25">
      <c r="A9" s="1"/>
      <c r="B9" s="33" t="s">
        <v>30</v>
      </c>
      <c r="C9" s="11" t="s">
        <v>212</v>
      </c>
      <c r="D9" s="11"/>
      <c r="E9" s="1"/>
      <c r="F9" s="1"/>
    </row>
    <row r="10" spans="1:6" x14ac:dyDescent="0.25">
      <c r="A10" s="1"/>
      <c r="B10" s="79" t="s">
        <v>231</v>
      </c>
      <c r="C10" s="9">
        <v>21250573</v>
      </c>
      <c r="D10" s="14" t="s">
        <v>3</v>
      </c>
      <c r="E10" s="1"/>
      <c r="F10" s="1"/>
    </row>
    <row r="11" spans="1:6" x14ac:dyDescent="0.25">
      <c r="A11" s="1"/>
      <c r="B11" s="79" t="s">
        <v>232</v>
      </c>
      <c r="C11" s="9">
        <v>141192</v>
      </c>
      <c r="D11" s="14" t="s">
        <v>3</v>
      </c>
      <c r="E11" s="1"/>
      <c r="F11" s="1"/>
    </row>
    <row r="12" spans="1:6" x14ac:dyDescent="0.25">
      <c r="A12" s="1"/>
      <c r="B12" s="67" t="s">
        <v>182</v>
      </c>
      <c r="C12" s="12">
        <f>SUM(C10:C11)</f>
        <v>21391765</v>
      </c>
      <c r="D12" s="13" t="s">
        <v>3</v>
      </c>
      <c r="E12" s="1"/>
      <c r="F12" s="1"/>
    </row>
    <row r="13" spans="1:6" x14ac:dyDescent="0.25">
      <c r="A13" s="1"/>
      <c r="B13" s="67" t="s">
        <v>183</v>
      </c>
      <c r="C13" s="12">
        <f>C12*(1+'Fane 13. Nøgletal'!C15)^2</f>
        <v>22941969.735290401</v>
      </c>
      <c r="D13" s="13" t="s">
        <v>3</v>
      </c>
      <c r="E13" s="1"/>
      <c r="F13" s="1"/>
    </row>
    <row r="14" spans="1:6" x14ac:dyDescent="0.25">
      <c r="A14" s="1"/>
      <c r="B14" s="16"/>
      <c r="C14" s="15"/>
      <c r="D14" s="15"/>
      <c r="E14" s="1"/>
      <c r="F14" s="1"/>
    </row>
    <row r="15" spans="1:6" x14ac:dyDescent="0.25">
      <c r="A15" s="1"/>
      <c r="B15" s="16"/>
      <c r="C15" s="15"/>
      <c r="D15" s="15"/>
      <c r="E15" s="1"/>
      <c r="F15" s="1"/>
    </row>
    <row r="16" spans="1: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Bm87yy7FHw6GIP7tz+bL7DSgltBPQI5YRkOr3bOrxV/zwiHydcTVZoUGMn3z2YUVSccxf4iH15Aauc44jLG/0w==" saltValue="MWFLDrrZP7AOBrDPQao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topLeftCell="A25"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184</v>
      </c>
      <c r="C3" s="115"/>
      <c r="D3" s="115"/>
      <c r="E3" s="115"/>
      <c r="F3" s="115"/>
      <c r="G3" s="1"/>
    </row>
    <row r="4" spans="1:7" ht="15" customHeight="1" x14ac:dyDescent="0.25">
      <c r="A4" s="1"/>
      <c r="B4" s="115"/>
      <c r="C4" s="115"/>
      <c r="D4" s="115"/>
      <c r="E4" s="115"/>
      <c r="F4" s="115"/>
      <c r="G4" s="1"/>
    </row>
    <row r="5" spans="1:7" ht="15" customHeight="1" x14ac:dyDescent="0.25">
      <c r="A5" s="1"/>
      <c r="B5" s="74"/>
      <c r="C5" s="74"/>
      <c r="D5" s="74"/>
      <c r="E5" s="74"/>
      <c r="F5" s="74"/>
      <c r="G5" s="1"/>
    </row>
    <row r="6" spans="1:7" ht="15" customHeight="1" x14ac:dyDescent="0.25">
      <c r="A6" s="1"/>
      <c r="B6" s="74"/>
      <c r="C6" s="74"/>
      <c r="D6" s="74"/>
      <c r="E6" s="74"/>
      <c r="F6" s="74"/>
      <c r="G6" s="1"/>
    </row>
    <row r="7" spans="1:7" x14ac:dyDescent="0.25">
      <c r="A7" s="1"/>
      <c r="B7" s="1"/>
      <c r="C7" s="1"/>
      <c r="D7" s="1"/>
      <c r="E7" s="1"/>
      <c r="F7" s="1"/>
      <c r="G7" s="1"/>
    </row>
    <row r="8" spans="1:7" x14ac:dyDescent="0.25">
      <c r="A8" s="1"/>
      <c r="B8" s="130" t="s">
        <v>155</v>
      </c>
      <c r="C8" s="131"/>
      <c r="D8" s="131"/>
      <c r="E8" s="131"/>
      <c r="F8" s="132"/>
      <c r="G8" s="1"/>
    </row>
    <row r="9" spans="1:7" x14ac:dyDescent="0.25">
      <c r="A9" s="1"/>
      <c r="B9" s="133" t="s">
        <v>156</v>
      </c>
      <c r="C9" s="134"/>
      <c r="D9" s="135"/>
      <c r="E9" s="9">
        <v>3634277</v>
      </c>
      <c r="F9" s="14" t="s">
        <v>3</v>
      </c>
      <c r="G9" s="1"/>
    </row>
    <row r="10" spans="1:7" x14ac:dyDescent="0.25">
      <c r="A10" s="1"/>
      <c r="B10" s="148" t="s">
        <v>233</v>
      </c>
      <c r="C10" s="149"/>
      <c r="D10" s="150"/>
      <c r="E10" s="9">
        <v>3634277</v>
      </c>
      <c r="F10" s="54" t="s">
        <v>3</v>
      </c>
      <c r="G10" s="1"/>
    </row>
    <row r="11" spans="1:7" x14ac:dyDescent="0.25">
      <c r="A11" s="1"/>
      <c r="B11" s="133" t="s">
        <v>185</v>
      </c>
      <c r="C11" s="134"/>
      <c r="D11" s="135"/>
      <c r="E11" s="9">
        <v>2504079.7643879503</v>
      </c>
      <c r="F11" s="14" t="s">
        <v>3</v>
      </c>
      <c r="G11" s="1"/>
    </row>
    <row r="12" spans="1:7" x14ac:dyDescent="0.25">
      <c r="A12" s="1"/>
      <c r="B12" s="67"/>
      <c r="C12" s="68"/>
      <c r="D12" s="68"/>
      <c r="E12" s="68"/>
      <c r="F12" s="19"/>
      <c r="G12" s="1"/>
    </row>
    <row r="13" spans="1:7" ht="64.900000000000006" customHeight="1" x14ac:dyDescent="0.25">
      <c r="A13" s="1"/>
      <c r="B13" s="119" t="s">
        <v>249</v>
      </c>
      <c r="C13" s="120"/>
      <c r="D13" s="120"/>
      <c r="E13" s="120"/>
      <c r="F13" s="121"/>
      <c r="G13" s="1"/>
    </row>
    <row r="14" spans="1:7" ht="27" customHeight="1" x14ac:dyDescent="0.25">
      <c r="A14" s="1"/>
      <c r="B14" s="1"/>
      <c r="C14" s="1"/>
      <c r="D14" s="1"/>
      <c r="E14" s="1"/>
      <c r="F14" s="1"/>
      <c r="G14" s="1"/>
    </row>
    <row r="15" spans="1:7" ht="28.5" customHeight="1" x14ac:dyDescent="0.25">
      <c r="A15" s="1"/>
      <c r="B15" s="130" t="s">
        <v>157</v>
      </c>
      <c r="C15" s="131"/>
      <c r="D15" s="131"/>
      <c r="E15" s="131"/>
      <c r="F15" s="132"/>
      <c r="G15" s="1"/>
    </row>
    <row r="16" spans="1:7" x14ac:dyDescent="0.25">
      <c r="A16" s="1"/>
      <c r="B16" s="133" t="s">
        <v>234</v>
      </c>
      <c r="C16" s="134"/>
      <c r="D16" s="135"/>
      <c r="E16" s="9">
        <v>0</v>
      </c>
      <c r="F16" s="14" t="s">
        <v>3</v>
      </c>
      <c r="G16" s="1"/>
    </row>
    <row r="17" spans="1:7" x14ac:dyDescent="0.25">
      <c r="A17" s="1"/>
      <c r="B17" s="133" t="s">
        <v>235</v>
      </c>
      <c r="C17" s="134"/>
      <c r="D17" s="135"/>
      <c r="E17" s="9">
        <v>0</v>
      </c>
      <c r="F17" s="14" t="s">
        <v>3</v>
      </c>
      <c r="G17" s="1"/>
    </row>
    <row r="18" spans="1:7" x14ac:dyDescent="0.25">
      <c r="A18" s="1"/>
      <c r="B18" s="67"/>
      <c r="C18" s="68"/>
      <c r="D18" s="68"/>
      <c r="E18" s="68"/>
      <c r="F18" s="19"/>
      <c r="G18" s="1"/>
    </row>
    <row r="19" spans="1:7" ht="31.5" customHeight="1" x14ac:dyDescent="0.25">
      <c r="A19" s="1"/>
      <c r="B19" s="119" t="s">
        <v>158</v>
      </c>
      <c r="C19" s="120"/>
      <c r="D19" s="120"/>
      <c r="E19" s="120"/>
      <c r="F19" s="121"/>
      <c r="G19" s="1"/>
    </row>
    <row r="20" spans="1:7" ht="28.5" customHeight="1" x14ac:dyDescent="0.25">
      <c r="A20" s="1"/>
      <c r="B20" s="1"/>
      <c r="C20" s="1"/>
      <c r="D20" s="1"/>
      <c r="E20" s="1"/>
      <c r="F20" s="1"/>
      <c r="G20" s="1"/>
    </row>
    <row r="21" spans="1:7" ht="28.5" customHeight="1" x14ac:dyDescent="0.25">
      <c r="A21" s="1"/>
      <c r="B21" s="71" t="s">
        <v>186</v>
      </c>
      <c r="C21" s="72"/>
      <c r="D21" s="72"/>
      <c r="E21" s="72"/>
      <c r="F21" s="73"/>
      <c r="G21" s="1"/>
    </row>
    <row r="22" spans="1:7" x14ac:dyDescent="0.25">
      <c r="A22" s="1"/>
      <c r="B22" s="76" t="s">
        <v>236</v>
      </c>
      <c r="C22" s="77"/>
      <c r="D22" s="78"/>
      <c r="E22" s="9">
        <v>47337565.1350438</v>
      </c>
      <c r="F22" s="14" t="s">
        <v>3</v>
      </c>
      <c r="G22" s="1"/>
    </row>
    <row r="23" spans="1:7" x14ac:dyDescent="0.25">
      <c r="A23" s="1"/>
      <c r="B23" s="76" t="s">
        <v>187</v>
      </c>
      <c r="C23" s="77"/>
      <c r="D23" s="78"/>
      <c r="E23" s="9">
        <v>49127832</v>
      </c>
      <c r="F23" s="14" t="s">
        <v>3</v>
      </c>
      <c r="G23" s="1"/>
    </row>
    <row r="24" spans="1:7" x14ac:dyDescent="0.25">
      <c r="A24" s="1"/>
      <c r="B24" s="76" t="s">
        <v>31</v>
      </c>
      <c r="C24" s="77"/>
      <c r="D24" s="78"/>
      <c r="E24" s="9">
        <v>0</v>
      </c>
      <c r="F24" s="14" t="s">
        <v>3</v>
      </c>
      <c r="G24" s="1"/>
    </row>
    <row r="25" spans="1:7" x14ac:dyDescent="0.25">
      <c r="A25" s="1"/>
      <c r="B25" s="51" t="s">
        <v>250</v>
      </c>
      <c r="C25" s="52"/>
      <c r="D25" s="53"/>
      <c r="E25" s="57">
        <f>E22-(E23-E24)</f>
        <v>-1790266.8649562001</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30" t="s">
        <v>237</v>
      </c>
      <c r="C28" s="131"/>
      <c r="D28" s="131"/>
      <c r="E28" s="131"/>
      <c r="F28" s="132"/>
      <c r="G28" s="1"/>
    </row>
    <row r="29" spans="1:7" x14ac:dyDescent="0.25">
      <c r="A29" s="1"/>
      <c r="B29" s="151" t="s">
        <v>128</v>
      </c>
      <c r="C29" s="152"/>
      <c r="D29" s="153"/>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51" t="s">
        <v>93</v>
      </c>
      <c r="C30" s="152"/>
      <c r="D30" s="153"/>
      <c r="E30" s="9">
        <v>2</v>
      </c>
      <c r="F30" s="14" t="s">
        <v>18</v>
      </c>
      <c r="G30" s="1"/>
    </row>
    <row r="31" spans="1:7" x14ac:dyDescent="0.25">
      <c r="A31" s="1"/>
      <c r="B31" s="144" t="s">
        <v>127</v>
      </c>
      <c r="C31" s="144"/>
      <c r="D31" s="144"/>
      <c r="E31" s="10">
        <f>E29/E30</f>
        <v>0</v>
      </c>
      <c r="F31" s="17" t="s">
        <v>3</v>
      </c>
      <c r="G31" s="1"/>
    </row>
    <row r="32" spans="1:7" x14ac:dyDescent="0.25">
      <c r="A32" s="1"/>
      <c r="B32" s="145"/>
      <c r="C32" s="146"/>
      <c r="D32" s="146"/>
      <c r="E32" s="146"/>
      <c r="F32" s="1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6b9qOWD/pVUaCJ5Io24Mc+XYHq1Ikl0l7T9P512Cs1RuWrjsnU+GdR8nT+QVy0z2PBr/2d0yuBoj4s8glCFOhQ==" saltValue="yPE5o0uheIIlipA1K45sew=="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topLeftCell="A33"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7" t="s">
        <v>226</v>
      </c>
      <c r="C3" s="107"/>
      <c r="D3" s="107"/>
      <c r="E3" s="107"/>
      <c r="F3" s="107"/>
      <c r="G3" s="107"/>
      <c r="H3" s="107"/>
      <c r="I3" s="1"/>
    </row>
    <row r="4" spans="1:9" ht="15" customHeight="1" x14ac:dyDescent="0.25">
      <c r="A4" s="1"/>
      <c r="B4" s="107"/>
      <c r="C4" s="107"/>
      <c r="D4" s="107"/>
      <c r="E4" s="107"/>
      <c r="F4" s="107"/>
      <c r="G4" s="107"/>
      <c r="H4" s="10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0" t="s">
        <v>227</v>
      </c>
      <c r="C8" s="131"/>
      <c r="D8" s="131"/>
      <c r="E8" s="131"/>
      <c r="F8" s="131"/>
      <c r="G8" s="131"/>
      <c r="H8" s="132"/>
      <c r="I8" s="1"/>
    </row>
    <row r="9" spans="1:9" ht="15" customHeight="1" x14ac:dyDescent="0.25">
      <c r="A9" s="1"/>
      <c r="B9" s="125" t="s">
        <v>228</v>
      </c>
      <c r="C9" s="126"/>
      <c r="D9" s="126"/>
      <c r="E9" s="126"/>
      <c r="F9" s="126"/>
      <c r="G9" s="126"/>
      <c r="H9" s="127"/>
      <c r="I9" s="1"/>
    </row>
    <row r="10" spans="1:9" x14ac:dyDescent="0.25">
      <c r="A10" s="1"/>
      <c r="B10" s="154" t="s">
        <v>240</v>
      </c>
      <c r="C10" s="155"/>
      <c r="D10" s="155"/>
      <c r="E10" s="155"/>
      <c r="F10" s="156"/>
      <c r="G10" s="56">
        <v>0</v>
      </c>
      <c r="H10" s="9" t="s">
        <v>3</v>
      </c>
      <c r="I10" s="1"/>
    </row>
    <row r="11" spans="1:9" x14ac:dyDescent="0.25">
      <c r="A11" s="1"/>
      <c r="B11" s="154" t="s">
        <v>241</v>
      </c>
      <c r="C11" s="155"/>
      <c r="D11" s="155"/>
      <c r="E11" s="155"/>
      <c r="F11" s="156"/>
      <c r="G11" s="56">
        <v>0</v>
      </c>
      <c r="H11" s="9" t="s">
        <v>3</v>
      </c>
      <c r="I11" s="1"/>
    </row>
    <row r="12" spans="1:9" x14ac:dyDescent="0.25">
      <c r="A12" s="1"/>
      <c r="B12" s="154" t="s">
        <v>242</v>
      </c>
      <c r="C12" s="155"/>
      <c r="D12" s="155"/>
      <c r="E12" s="155"/>
      <c r="F12" s="156"/>
      <c r="G12" s="9">
        <v>0</v>
      </c>
      <c r="H12" s="9" t="s">
        <v>3</v>
      </c>
      <c r="I12" s="1"/>
    </row>
    <row r="13" spans="1:9" x14ac:dyDescent="0.25">
      <c r="A13" s="1"/>
      <c r="B13" s="154" t="s">
        <v>243</v>
      </c>
      <c r="C13" s="155"/>
      <c r="D13" s="155"/>
      <c r="E13" s="155"/>
      <c r="F13" s="156"/>
      <c r="G13" s="9">
        <v>0</v>
      </c>
      <c r="H13" s="9" t="s">
        <v>3</v>
      </c>
      <c r="I13" s="1"/>
    </row>
    <row r="14" spans="1:9" x14ac:dyDescent="0.25">
      <c r="A14" s="1"/>
      <c r="B14" s="154" t="s">
        <v>244</v>
      </c>
      <c r="C14" s="155"/>
      <c r="D14" s="155"/>
      <c r="E14" s="155"/>
      <c r="F14" s="156"/>
      <c r="G14" s="9">
        <v>0</v>
      </c>
      <c r="H14" s="9" t="s">
        <v>3</v>
      </c>
      <c r="I14" s="1"/>
    </row>
    <row r="15" spans="1:9" x14ac:dyDescent="0.25">
      <c r="A15" s="1"/>
      <c r="B15" s="154" t="s">
        <v>245</v>
      </c>
      <c r="C15" s="155"/>
      <c r="D15" s="155"/>
      <c r="E15" s="155"/>
      <c r="F15" s="156"/>
      <c r="G15" s="9">
        <v>0</v>
      </c>
      <c r="H15" s="9" t="s">
        <v>3</v>
      </c>
      <c r="I15" s="1"/>
    </row>
    <row r="16" spans="1:9" x14ac:dyDescent="0.25">
      <c r="A16" s="1"/>
      <c r="B16" s="154" t="s">
        <v>246</v>
      </c>
      <c r="C16" s="155"/>
      <c r="D16" s="155"/>
      <c r="E16" s="155"/>
      <c r="F16" s="156"/>
      <c r="G16" s="9">
        <v>0</v>
      </c>
      <c r="H16" s="9" t="s">
        <v>3</v>
      </c>
      <c r="I16" s="1"/>
    </row>
    <row r="17" spans="1:9" x14ac:dyDescent="0.25">
      <c r="A17" s="1"/>
      <c r="B17" s="154" t="s">
        <v>247</v>
      </c>
      <c r="C17" s="155"/>
      <c r="D17" s="155"/>
      <c r="E17" s="155"/>
      <c r="F17" s="156"/>
      <c r="G17" s="9">
        <v>0</v>
      </c>
      <c r="H17" s="9" t="s">
        <v>3</v>
      </c>
      <c r="I17" s="1"/>
    </row>
    <row r="18" spans="1:9" x14ac:dyDescent="0.25">
      <c r="A18" s="1"/>
      <c r="B18" s="130" t="s">
        <v>229</v>
      </c>
      <c r="C18" s="131"/>
      <c r="D18" s="131"/>
      <c r="E18" s="131"/>
      <c r="F18" s="13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m2NOl/u4W9E040GCMMZMMmWZJb4EYZhNJS88V7KsYweFQUWNAmz7G6pS5KZ4xsCdsua7qv4+GRrUTASsNIx47g==" saltValue="kYmhM/Ehds9ZlWIQLUaqrg=="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2"/>
  <sheetViews>
    <sheetView showGridLines="0" view="pageLayout" zoomScaleNormal="100" workbookViewId="0">
      <selection activeCell="U33" sqref="U33"/>
    </sheetView>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7" t="s">
        <v>220</v>
      </c>
      <c r="C3" s="107"/>
      <c r="D3" s="107"/>
      <c r="E3" s="107"/>
      <c r="F3" s="107"/>
      <c r="G3" s="107"/>
      <c r="H3" s="107"/>
      <c r="I3" s="107"/>
      <c r="J3" s="107"/>
      <c r="K3" s="107"/>
      <c r="L3" s="1"/>
    </row>
    <row r="4" spans="1:12" ht="15" customHeight="1" x14ac:dyDescent="0.25">
      <c r="A4" s="1"/>
      <c r="B4" s="107"/>
      <c r="C4" s="107"/>
      <c r="D4" s="107"/>
      <c r="E4" s="107"/>
      <c r="F4" s="107"/>
      <c r="G4" s="107"/>
      <c r="H4" s="107"/>
      <c r="I4" s="107"/>
      <c r="J4" s="107"/>
      <c r="K4" s="10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0" t="s">
        <v>192</v>
      </c>
      <c r="C8" s="131"/>
      <c r="D8" s="131"/>
      <c r="E8" s="131"/>
      <c r="F8" s="131"/>
      <c r="G8" s="131"/>
      <c r="H8" s="131"/>
      <c r="I8" s="131"/>
      <c r="J8" s="131"/>
      <c r="K8" s="132"/>
      <c r="L8" s="1"/>
    </row>
    <row r="9" spans="1:12" ht="39.75" customHeight="1" x14ac:dyDescent="0.25">
      <c r="A9" s="1"/>
      <c r="B9" s="18" t="s">
        <v>0</v>
      </c>
      <c r="C9" s="18" t="s">
        <v>1</v>
      </c>
      <c r="D9" s="157" t="s">
        <v>213</v>
      </c>
      <c r="E9" s="158"/>
      <c r="F9" s="157" t="s">
        <v>2</v>
      </c>
      <c r="G9" s="158"/>
      <c r="H9" s="157" t="s">
        <v>214</v>
      </c>
      <c r="I9" s="158"/>
      <c r="J9" s="157" t="s">
        <v>28</v>
      </c>
      <c r="K9" s="158"/>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67" t="s">
        <v>193</v>
      </c>
      <c r="C11" s="68"/>
      <c r="D11" s="19"/>
      <c r="E11" s="73"/>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55"/>
      <c r="B47" s="55"/>
      <c r="C47" s="55"/>
      <c r="D47" s="55"/>
      <c r="E47" s="55"/>
      <c r="F47" s="55"/>
      <c r="G47" s="55"/>
      <c r="H47" s="55"/>
      <c r="I47" s="55"/>
      <c r="J47" s="55"/>
      <c r="K47" s="55"/>
      <c r="L47" s="55"/>
    </row>
    <row r="48" spans="1:12" x14ac:dyDescent="0.25">
      <c r="A48" s="55"/>
      <c r="B48" s="55"/>
      <c r="C48" s="55"/>
      <c r="D48" s="55"/>
      <c r="E48" s="55"/>
      <c r="F48" s="55"/>
      <c r="G48" s="55"/>
      <c r="H48" s="55"/>
      <c r="I48" s="55"/>
      <c r="J48" s="55"/>
      <c r="K48" s="55"/>
      <c r="L48" s="55"/>
    </row>
    <row r="49" spans="1:12" x14ac:dyDescent="0.25">
      <c r="A49" s="55"/>
      <c r="B49" s="55"/>
      <c r="C49" s="55"/>
      <c r="D49" s="55"/>
      <c r="E49" s="55"/>
      <c r="F49" s="55"/>
      <c r="G49" s="55"/>
      <c r="H49" s="55"/>
      <c r="I49" s="55"/>
      <c r="J49" s="55"/>
      <c r="K49" s="55"/>
      <c r="L49" s="55"/>
    </row>
    <row r="50" spans="1:12" x14ac:dyDescent="0.25">
      <c r="A50" s="55"/>
      <c r="B50" s="55"/>
      <c r="C50" s="55"/>
      <c r="D50" s="55"/>
      <c r="E50" s="55"/>
      <c r="F50" s="55"/>
      <c r="G50" s="55"/>
      <c r="H50" s="55"/>
      <c r="I50" s="55"/>
      <c r="J50" s="55"/>
      <c r="K50" s="55"/>
      <c r="L50" s="55"/>
    </row>
    <row r="51" spans="1:12" x14ac:dyDescent="0.25">
      <c r="A51" s="55"/>
      <c r="B51" s="55"/>
      <c r="C51" s="55"/>
      <c r="D51" s="55"/>
      <c r="E51" s="55"/>
      <c r="F51" s="55"/>
      <c r="G51" s="55"/>
      <c r="H51" s="55"/>
      <c r="I51" s="55"/>
      <c r="J51" s="55"/>
      <c r="K51" s="55"/>
      <c r="L51" s="55"/>
    </row>
    <row r="52" spans="1:12" x14ac:dyDescent="0.25">
      <c r="A52" s="55"/>
      <c r="B52" s="55"/>
      <c r="C52" s="55"/>
      <c r="D52" s="55"/>
      <c r="E52" s="55"/>
      <c r="F52" s="55"/>
      <c r="G52" s="55"/>
      <c r="H52" s="55"/>
      <c r="I52" s="55"/>
      <c r="J52" s="55"/>
      <c r="K52" s="55"/>
      <c r="L52" s="55"/>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election activeCell="B21" sqref="B21"/>
    </sheetView>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221</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70"/>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248</v>
      </c>
      <c r="C11" s="21">
        <v>130892</v>
      </c>
      <c r="D11" s="14" t="s">
        <v>3</v>
      </c>
      <c r="E11" s="9">
        <f>44137</f>
        <v>44137</v>
      </c>
      <c r="F11" s="14" t="s">
        <v>3</v>
      </c>
      <c r="G11" s="1"/>
    </row>
    <row r="12" spans="1:7" x14ac:dyDescent="0.25">
      <c r="A12" s="1"/>
      <c r="B12" s="26" t="s">
        <v>251</v>
      </c>
      <c r="C12" s="21">
        <v>198840</v>
      </c>
      <c r="D12" s="14" t="s">
        <v>3</v>
      </c>
      <c r="E12" s="9">
        <v>0</v>
      </c>
      <c r="F12" s="14" t="s">
        <v>3</v>
      </c>
      <c r="G12" s="1"/>
    </row>
    <row r="13" spans="1:7" x14ac:dyDescent="0.25">
      <c r="A13" s="1"/>
      <c r="B13" s="67" t="s">
        <v>148</v>
      </c>
      <c r="C13" s="12">
        <f>SUM(C10:C12)</f>
        <v>329732</v>
      </c>
      <c r="D13" s="13" t="s">
        <v>3</v>
      </c>
      <c r="E13" s="12">
        <f>SUM(E10:E12)</f>
        <v>44137</v>
      </c>
      <c r="F13" s="13" t="s">
        <v>3</v>
      </c>
      <c r="G13" s="1"/>
    </row>
    <row r="14" spans="1:7" x14ac:dyDescent="0.25">
      <c r="A14" s="1"/>
      <c r="B14" s="67" t="s">
        <v>188</v>
      </c>
      <c r="C14" s="12">
        <f>C13*(1+'Fane 13. Nøgletal'!C15)</f>
        <v>341470.45920000004</v>
      </c>
      <c r="D14" s="13" t="s">
        <v>3</v>
      </c>
      <c r="E14" s="12">
        <f>E13*(1+'Fane 13. Nøgletal'!C15)</f>
        <v>45708.277200000004</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7ahKEO5Ba7ucD3jRHgjailldgD2rrJIZ7qoI9sVttqW9XjzZWLrPDJ6LNwvMlqSqaKP5R+7fGnzoCtPontGetA==" saltValue="Hb+rPgfLTY7X3eycCjb+w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election activeCell="B18" sqref="B18"/>
    </sheetView>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222</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30" t="s">
        <v>88</v>
      </c>
      <c r="C9" s="131"/>
      <c r="D9" s="131"/>
      <c r="E9" s="131"/>
      <c r="F9" s="132"/>
      <c r="G9" s="1"/>
    </row>
    <row r="10" spans="1:7" ht="26.25" x14ac:dyDescent="0.25">
      <c r="A10" s="1"/>
      <c r="B10" s="65" t="s">
        <v>15</v>
      </c>
      <c r="C10" s="65" t="s">
        <v>10</v>
      </c>
      <c r="D10" s="66"/>
      <c r="E10" s="65" t="s">
        <v>29</v>
      </c>
      <c r="F10" s="70"/>
      <c r="G10" s="1"/>
    </row>
    <row r="11" spans="1:7" x14ac:dyDescent="0.25">
      <c r="A11" s="1"/>
      <c r="B11" s="22" t="s">
        <v>251</v>
      </c>
      <c r="C11" s="21">
        <v>495914</v>
      </c>
      <c r="D11" s="14" t="s">
        <v>3</v>
      </c>
      <c r="E11" s="9">
        <v>0</v>
      </c>
      <c r="F11" s="14" t="s">
        <v>3</v>
      </c>
      <c r="G11" s="1"/>
    </row>
    <row r="12" spans="1:7" x14ac:dyDescent="0.25">
      <c r="A12" s="1"/>
      <c r="B12" s="67" t="s">
        <v>195</v>
      </c>
      <c r="C12" s="12">
        <f>SUM(C11:C11)</f>
        <v>495914</v>
      </c>
      <c r="D12" s="13" t="s">
        <v>3</v>
      </c>
      <c r="E12" s="12">
        <f>SUM(E11:E11)</f>
        <v>0</v>
      </c>
      <c r="F12" s="13" t="s">
        <v>3</v>
      </c>
      <c r="G12" s="1"/>
    </row>
    <row r="13" spans="1:7" x14ac:dyDescent="0.25">
      <c r="A13" s="1"/>
      <c r="B13" s="67" t="s">
        <v>119</v>
      </c>
      <c r="C13" s="12">
        <f>C12*(1+'Fane 13. Nøgletal'!$C$15)^2</f>
        <v>531851.57836704003</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sExpdcfi1CAHq3siIiAQm4IrLUFOQzY1L0d1lgMrqwrm6o5Ib9YF+VSy11mhG9suUkkyRTT7eX9dWZ7pjMMy7w==" saltValue="a9AQrcddZtzuoLJVC8H8m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223</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0" t="s">
        <v>112</v>
      </c>
      <c r="C8" s="131"/>
      <c r="D8" s="131"/>
      <c r="E8" s="131"/>
      <c r="F8" s="132"/>
      <c r="G8" s="1"/>
    </row>
    <row r="9" spans="1:7" ht="15" customHeight="1" x14ac:dyDescent="0.25">
      <c r="A9" s="1"/>
      <c r="B9" s="69" t="s">
        <v>113</v>
      </c>
      <c r="C9" s="125" t="s">
        <v>10</v>
      </c>
      <c r="D9" s="127"/>
      <c r="E9" s="125" t="s">
        <v>29</v>
      </c>
      <c r="F9" s="127"/>
      <c r="G9" s="1"/>
    </row>
    <row r="10" spans="1:7" x14ac:dyDescent="0.25">
      <c r="A10" s="1"/>
      <c r="B10" s="22" t="s">
        <v>238</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election activeCell="E20" sqref="E20"/>
    </sheetView>
  </sheetViews>
  <sheetFormatPr defaultColWidth="9" defaultRowHeight="15" x14ac:dyDescent="0.25"/>
  <cols>
    <col min="1" max="1" width="2.85546875" style="2" customWidth="1"/>
    <col min="2" max="2" width="36.28515625" style="2" customWidth="1"/>
    <col min="3" max="3" width="17" style="2" customWidth="1"/>
    <col min="4" max="4" width="3.28515625" style="2" customWidth="1"/>
    <col min="5" max="5" width="17.85546875" style="2" customWidth="1"/>
    <col min="6" max="6" width="3.28515625" style="2" customWidth="1"/>
    <col min="7" max="7" width="2.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224</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30" t="s">
        <v>85</v>
      </c>
      <c r="C10" s="131"/>
      <c r="D10" s="131"/>
      <c r="E10" s="131"/>
      <c r="F10" s="132"/>
      <c r="G10" s="1"/>
    </row>
    <row r="11" spans="1:7" x14ac:dyDescent="0.25">
      <c r="A11" s="1"/>
      <c r="B11" s="69" t="s">
        <v>16</v>
      </c>
      <c r="C11" s="69" t="s">
        <v>10</v>
      </c>
      <c r="D11" s="70"/>
      <c r="E11" s="69" t="s">
        <v>29</v>
      </c>
      <c r="F11" s="70"/>
      <c r="G11" s="1"/>
    </row>
    <row r="12" spans="1:7" x14ac:dyDescent="0.25">
      <c r="A12" s="1"/>
      <c r="B12" s="22" t="s">
        <v>239</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tabSelected="1" view="pageLayout" zoomScaleNormal="100" workbookViewId="0">
      <selection activeCell="B42" sqref="B42"/>
    </sheetView>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15" t="s">
        <v>225</v>
      </c>
      <c r="C3" s="115"/>
      <c r="D3" s="1"/>
    </row>
    <row r="4" spans="1:4" ht="25.5" customHeight="1" x14ac:dyDescent="0.25">
      <c r="A4" s="1"/>
      <c r="B4" s="115"/>
      <c r="C4" s="115"/>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7"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30"/>
      <c r="C16" s="132"/>
      <c r="D16" s="1"/>
    </row>
    <row r="17" spans="1:4" x14ac:dyDescent="0.25">
      <c r="A17" s="1"/>
      <c r="B17" s="1"/>
      <c r="C17" s="44"/>
      <c r="D17" s="1"/>
    </row>
    <row r="18" spans="1:4" x14ac:dyDescent="0.25">
      <c r="A18" s="1"/>
      <c r="B18" s="1"/>
      <c r="C18" s="44"/>
      <c r="D18" s="1"/>
    </row>
    <row r="19" spans="1:4" x14ac:dyDescent="0.25">
      <c r="A19" s="1"/>
      <c r="B19" s="67"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67"/>
      <c r="C27" s="45"/>
      <c r="D27" s="1"/>
    </row>
    <row r="28" spans="1:4" x14ac:dyDescent="0.25">
      <c r="A28" s="1"/>
      <c r="B28" s="1"/>
      <c r="C28" s="44"/>
      <c r="D28" s="1"/>
    </row>
    <row r="29" spans="1:4" x14ac:dyDescent="0.25">
      <c r="A29" s="1"/>
      <c r="B29" s="1"/>
      <c r="C29" s="44"/>
      <c r="D29" s="1"/>
    </row>
    <row r="30" spans="1:4" x14ac:dyDescent="0.25">
      <c r="A30" s="1"/>
      <c r="B30" s="67" t="s">
        <v>90</v>
      </c>
      <c r="C30" s="45"/>
      <c r="D30" s="1"/>
    </row>
    <row r="31" spans="1:4" x14ac:dyDescent="0.25">
      <c r="A31" s="1"/>
      <c r="B31" s="79" t="s">
        <v>107</v>
      </c>
      <c r="C31" s="46">
        <v>0.02</v>
      </c>
      <c r="D31" s="1"/>
    </row>
    <row r="32" spans="1:4" x14ac:dyDescent="0.25">
      <c r="A32" s="1"/>
      <c r="B32" s="67"/>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88"/>
      <c r="D50" s="55"/>
    </row>
    <row r="51" spans="1:4" x14ac:dyDescent="0.25">
      <c r="A51" s="55"/>
      <c r="B51" s="55"/>
      <c r="C51" s="88"/>
      <c r="D51" s="55"/>
    </row>
    <row r="52" spans="1:4" x14ac:dyDescent="0.25">
      <c r="A52" s="55"/>
      <c r="B52" s="55"/>
      <c r="C52" s="88"/>
      <c r="D52" s="55"/>
    </row>
    <row r="53" spans="1:4" x14ac:dyDescent="0.25">
      <c r="A53" s="55"/>
      <c r="B53" s="55"/>
      <c r="C53" s="88"/>
      <c r="D53" s="55"/>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election activeCell="B38" sqref="B37:B38"/>
    </sheetView>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165</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75" t="s">
        <v>116</v>
      </c>
      <c r="C8" s="7">
        <f>'Fane 3. Omkostninger i ØR2022'!E20</f>
        <v>25195799.045072779</v>
      </c>
      <c r="D8" s="8" t="s">
        <v>3</v>
      </c>
      <c r="E8" s="1"/>
    </row>
    <row r="9" spans="1:5" ht="17.25" customHeight="1" x14ac:dyDescent="0.25">
      <c r="A9" s="1"/>
      <c r="B9" s="23" t="s">
        <v>35</v>
      </c>
      <c r="C9" s="7">
        <f>'Fane 10.1. Varige tillæg'!C14</f>
        <v>341470.45920000004</v>
      </c>
      <c r="D9" s="8" t="s">
        <v>3</v>
      </c>
      <c r="E9" s="1"/>
    </row>
    <row r="10" spans="1:5" ht="17.25" customHeight="1" x14ac:dyDescent="0.25">
      <c r="A10" s="1"/>
      <c r="B10" s="23" t="s">
        <v>36</v>
      </c>
      <c r="C10" s="9">
        <f>'Fane 10.1. Varige tillæg'!E14</f>
        <v>45708.277200000004</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910754.00902043085</v>
      </c>
      <c r="D15" s="8" t="s">
        <v>3</v>
      </c>
      <c r="E15" s="1"/>
    </row>
    <row r="16" spans="1:5" ht="17.25" customHeight="1" x14ac:dyDescent="0.25">
      <c r="A16" s="1"/>
      <c r="B16" s="23" t="s">
        <v>9</v>
      </c>
      <c r="C16" s="9">
        <f>-SUM(C8,C9:C15)*'Fane 5. Individuelt eff. krav'!G9</f>
        <v>-316567.83686155028</v>
      </c>
      <c r="D16" s="8" t="s">
        <v>3</v>
      </c>
      <c r="E16" s="1"/>
    </row>
    <row r="17" spans="1:5" ht="17.25" customHeight="1" x14ac:dyDescent="0.25">
      <c r="A17" s="1"/>
      <c r="B17" s="23" t="s">
        <v>23</v>
      </c>
      <c r="C17" s="9">
        <f>-'Fane 4.1. Gen. krav - drift'!G43</f>
        <v>-215809.02438610696</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25961354.929245546</v>
      </c>
      <c r="D19" s="11" t="s">
        <v>3</v>
      </c>
      <c r="E19" s="1"/>
    </row>
    <row r="20" spans="1:5" ht="15" customHeight="1" x14ac:dyDescent="0.25">
      <c r="A20" s="1"/>
      <c r="B20" s="67" t="s">
        <v>11</v>
      </c>
      <c r="C20" s="68"/>
      <c r="D20" s="19"/>
      <c r="E20" s="1"/>
    </row>
    <row r="21" spans="1:5" ht="15" customHeight="1" x14ac:dyDescent="0.25">
      <c r="A21" s="1"/>
      <c r="B21" s="69" t="s">
        <v>11</v>
      </c>
      <c r="C21" s="10">
        <f>'Fane 6. Ikke-påvirkelige omk.'!C13</f>
        <v>22941969.735290401</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531851.57836704003</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-16992.010361059496</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514859.56800598052</v>
      </c>
      <c r="D27" s="11" t="s">
        <v>3</v>
      </c>
      <c r="E27" s="1"/>
    </row>
    <row r="28" spans="1:5" ht="15" customHeight="1" x14ac:dyDescent="0.25">
      <c r="A28" s="1"/>
      <c r="B28" s="25" t="s">
        <v>128</v>
      </c>
      <c r="C28" s="68"/>
      <c r="D28" s="19"/>
      <c r="E28" s="1"/>
    </row>
    <row r="29" spans="1:5" x14ac:dyDescent="0.25">
      <c r="A29" s="1"/>
      <c r="B29" s="80" t="s">
        <v>129</v>
      </c>
      <c r="C29" s="10">
        <f>'Fane 7. Kontrol af ØR2021'!E31</f>
        <v>0</v>
      </c>
      <c r="D29" s="11" t="s">
        <v>3</v>
      </c>
      <c r="E29" s="1"/>
    </row>
    <row r="30" spans="1:5" x14ac:dyDescent="0.25">
      <c r="A30" s="1"/>
      <c r="B30" s="25" t="s">
        <v>153</v>
      </c>
      <c r="C30" s="68"/>
      <c r="D30" s="19"/>
      <c r="E30" s="1"/>
    </row>
    <row r="31" spans="1:5" x14ac:dyDescent="0.25">
      <c r="A31" s="1"/>
      <c r="B31" s="80" t="s">
        <v>154</v>
      </c>
      <c r="C31" s="10">
        <f>'Fane 8. Skattesagen'!G12</f>
        <v>0</v>
      </c>
      <c r="D31" s="11" t="s">
        <v>3</v>
      </c>
      <c r="E31" s="1"/>
    </row>
    <row r="32" spans="1:5" x14ac:dyDescent="0.25">
      <c r="A32" s="1"/>
      <c r="B32" s="67" t="s">
        <v>84</v>
      </c>
      <c r="C32" s="36">
        <f>SUM(C19,C21,C27,C29,C31)</f>
        <v>49418184.232541926</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3+DYhVN/KzrYRlaQD76IjHUS2b2aZMSS/801dlsgthz7JYPKXO6cHDVyK+UPJopYp84eU5+LHbA4HZHb6lwWYg==" saltValue="t1n7qXvdOJvTt5YUu35MR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election activeCell="B26" sqref="B25:B26"/>
    </sheetView>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166</v>
      </c>
      <c r="C3" s="107"/>
      <c r="D3" s="107"/>
      <c r="E3" s="1"/>
    </row>
    <row r="4" spans="1:5" ht="15" customHeight="1" x14ac:dyDescent="0.25">
      <c r="A4" s="1"/>
      <c r="B4" s="107"/>
      <c r="C4" s="107"/>
      <c r="D4" s="107"/>
      <c r="E4" s="1"/>
    </row>
    <row r="5" spans="1:5" x14ac:dyDescent="0.25">
      <c r="A5" s="1"/>
      <c r="B5" s="108"/>
      <c r="C5" s="108"/>
      <c r="D5" s="108"/>
      <c r="E5" s="1"/>
    </row>
    <row r="6" spans="1:5" x14ac:dyDescent="0.25">
      <c r="A6" s="1"/>
      <c r="B6" s="1"/>
      <c r="C6" s="1"/>
      <c r="D6" s="1"/>
      <c r="E6" s="1"/>
    </row>
    <row r="7" spans="1:5" x14ac:dyDescent="0.25">
      <c r="A7" s="1"/>
      <c r="B7" s="67" t="s">
        <v>12</v>
      </c>
      <c r="C7" s="68"/>
      <c r="D7" s="19"/>
      <c r="E7" s="1"/>
    </row>
    <row r="8" spans="1:5" ht="15" customHeight="1" x14ac:dyDescent="0.25">
      <c r="A8" s="1"/>
      <c r="B8" s="75" t="s">
        <v>117</v>
      </c>
      <c r="C8" s="7">
        <f>'Fane 2.1. Økonomisk ramme 2023'!C19</f>
        <v>25961354.929245546</v>
      </c>
      <c r="D8" s="8" t="s">
        <v>3</v>
      </c>
      <c r="E8" s="1"/>
    </row>
    <row r="9" spans="1:5" ht="15" customHeight="1" x14ac:dyDescent="0.25">
      <c r="A9" s="1"/>
      <c r="B9" s="64" t="s">
        <v>17</v>
      </c>
      <c r="C9" s="9">
        <f>SUM(C8:C8)*'Fane 13. Nøgletal'!C15</f>
        <v>924224.23548114148</v>
      </c>
      <c r="D9" s="8" t="s">
        <v>3</v>
      </c>
      <c r="E9" s="1"/>
    </row>
    <row r="10" spans="1:5" ht="15" customHeight="1" x14ac:dyDescent="0.25">
      <c r="A10" s="1"/>
      <c r="B10" s="64" t="s">
        <v>9</v>
      </c>
      <c r="C10" s="9">
        <f>-SUM(C8:C9)*'Fane 5. Individuelt eff. krav'!G9</f>
        <v>-321249.93588111852</v>
      </c>
      <c r="D10" s="8" t="s">
        <v>3</v>
      </c>
      <c r="E10" s="1"/>
    </row>
    <row r="11" spans="1:5" ht="15" customHeight="1" x14ac:dyDescent="0.25">
      <c r="A11" s="1"/>
      <c r="B11" s="64" t="s">
        <v>23</v>
      </c>
      <c r="C11" s="9">
        <f>-'Fane 4.1. Gen. krav - drift'!G48</f>
        <v>-219021.98914116737</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26345307.239704404</v>
      </c>
      <c r="D13" s="11" t="s">
        <v>3</v>
      </c>
      <c r="E13" s="1"/>
    </row>
    <row r="14" spans="1:5" x14ac:dyDescent="0.25">
      <c r="A14" s="1"/>
      <c r="B14" s="67" t="s">
        <v>11</v>
      </c>
      <c r="C14" s="68"/>
      <c r="D14" s="19"/>
      <c r="E14" s="1"/>
    </row>
    <row r="15" spans="1:5" ht="15" customHeight="1" x14ac:dyDescent="0.25">
      <c r="A15" s="1"/>
      <c r="B15" s="69" t="s">
        <v>11</v>
      </c>
      <c r="C15" s="10">
        <f>'Fane 6. Ikke-påvirkelige omk.'!C13*(1+'Fane 13. Nøgletal'!C15)</f>
        <v>23758703.857866742</v>
      </c>
      <c r="D15" s="11" t="s">
        <v>3</v>
      </c>
      <c r="E15" s="1"/>
    </row>
    <row r="16" spans="1:5" x14ac:dyDescent="0.25">
      <c r="A16" s="1"/>
      <c r="B16" s="25" t="s">
        <v>128</v>
      </c>
      <c r="C16" s="68"/>
      <c r="D16" s="19"/>
      <c r="E16" s="1"/>
    </row>
    <row r="17" spans="1:5" ht="15" customHeight="1" x14ac:dyDescent="0.25">
      <c r="A17" s="1"/>
      <c r="B17" s="80" t="s">
        <v>129</v>
      </c>
      <c r="C17" s="10">
        <f>'Fane 7. Kontrol af ØR2021'!E31</f>
        <v>0</v>
      </c>
      <c r="D17" s="11" t="s">
        <v>3</v>
      </c>
      <c r="E17" s="1"/>
    </row>
    <row r="18" spans="1:5" x14ac:dyDescent="0.25">
      <c r="A18" s="1"/>
      <c r="B18" s="25" t="s">
        <v>153</v>
      </c>
      <c r="C18" s="68"/>
      <c r="D18" s="19"/>
      <c r="E18" s="1"/>
    </row>
    <row r="19" spans="1:5" x14ac:dyDescent="0.25">
      <c r="A19" s="1"/>
      <c r="B19" s="80" t="s">
        <v>154</v>
      </c>
      <c r="C19" s="10">
        <f>'Fane 8. Skattesagen'!G13</f>
        <v>0</v>
      </c>
      <c r="D19" s="11" t="s">
        <v>3</v>
      </c>
      <c r="E19" s="1"/>
    </row>
    <row r="20" spans="1:5" x14ac:dyDescent="0.25">
      <c r="A20" s="1"/>
      <c r="B20" s="67" t="s">
        <v>138</v>
      </c>
      <c r="C20" s="12">
        <f>SUM(C13,C15,C17,C19)</f>
        <v>50104011.097571149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OO0lDiGBYhbxXz8MGPkmIaIkxmxpNEZUJqFqa1N/chlWdRF0xUhpblkXlUjdmr893q3ePcUgJaMprSSQWLFz2A==" saltValue="NgJvDdZNmXER7BgZsui1C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election activeCell="B40" sqref="B40"/>
    </sheetView>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167</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67" t="s">
        <v>12</v>
      </c>
      <c r="C7" s="68"/>
      <c r="D7" s="19"/>
      <c r="E7" s="1"/>
    </row>
    <row r="8" spans="1:5" ht="15" customHeight="1" x14ac:dyDescent="0.25">
      <c r="A8" s="1"/>
      <c r="B8" s="75" t="s">
        <v>139</v>
      </c>
      <c r="C8" s="7">
        <f>'Fane 2.2. Økonomisk ramme 2024'!C13</f>
        <v>26345307.239704404</v>
      </c>
      <c r="D8" s="8" t="s">
        <v>3</v>
      </c>
      <c r="E8" s="1"/>
    </row>
    <row r="9" spans="1:5" ht="15" customHeight="1" x14ac:dyDescent="0.25">
      <c r="A9" s="1"/>
      <c r="B9" s="64" t="s">
        <v>17</v>
      </c>
      <c r="C9" s="9">
        <f>SUM(C8:C8)*'Fane 13. Nøgletal'!C15</f>
        <v>937892.93773347675</v>
      </c>
      <c r="D9" s="8" t="s">
        <v>3</v>
      </c>
      <c r="E9" s="1"/>
    </row>
    <row r="10" spans="1:5" ht="15" customHeight="1" x14ac:dyDescent="0.25">
      <c r="A10" s="1"/>
      <c r="B10" s="64" t="s">
        <v>9</v>
      </c>
      <c r="C10" s="9">
        <f>-SUM(C8:C9)*'Fane 5. Individuelt eff. krav'!G9</f>
        <v>-326001.02285067289</v>
      </c>
      <c r="D10" s="8" t="s">
        <v>3</v>
      </c>
      <c r="E10" s="1"/>
    </row>
    <row r="11" spans="1:5" ht="15" customHeight="1" x14ac:dyDescent="0.25">
      <c r="A11" s="1"/>
      <c r="B11" s="64" t="s">
        <v>23</v>
      </c>
      <c r="C11" s="9">
        <f>-'Fane 4.1. Gen. krav - drift'!G53</f>
        <v>-222282.78851550107</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26734916.366071705</v>
      </c>
      <c r="D13" s="11" t="s">
        <v>3</v>
      </c>
      <c r="E13" s="1"/>
    </row>
    <row r="14" spans="1:5" x14ac:dyDescent="0.25">
      <c r="A14" s="1"/>
      <c r="B14" s="67" t="s">
        <v>11</v>
      </c>
      <c r="C14" s="68"/>
      <c r="D14" s="19"/>
      <c r="E14" s="1"/>
    </row>
    <row r="15" spans="1:5" ht="15" customHeight="1" x14ac:dyDescent="0.25">
      <c r="A15" s="1"/>
      <c r="B15" s="69" t="s">
        <v>11</v>
      </c>
      <c r="C15" s="10">
        <f>'Fane 6. Ikke-påvirkelige omk.'!C13*(1+'Fane 13. Nøgletal'!C15)^2</f>
        <v>24604513.715206798</v>
      </c>
      <c r="D15" s="11" t="s">
        <v>3</v>
      </c>
      <c r="E15" s="1"/>
    </row>
    <row r="16" spans="1:5" x14ac:dyDescent="0.25">
      <c r="A16" s="1"/>
      <c r="B16" s="67" t="s">
        <v>128</v>
      </c>
      <c r="C16" s="68"/>
      <c r="D16" s="19"/>
      <c r="E16" s="1"/>
    </row>
    <row r="17" spans="1:5" x14ac:dyDescent="0.25">
      <c r="A17" s="1"/>
      <c r="B17" s="69" t="s">
        <v>129</v>
      </c>
      <c r="C17" s="10">
        <v>0</v>
      </c>
      <c r="D17" s="11" t="s">
        <v>3</v>
      </c>
      <c r="E17" s="1"/>
    </row>
    <row r="18" spans="1:5" ht="15" customHeight="1" x14ac:dyDescent="0.25">
      <c r="A18" s="1"/>
      <c r="B18" s="25" t="s">
        <v>153</v>
      </c>
      <c r="C18" s="68"/>
      <c r="D18" s="19"/>
      <c r="E18" s="1"/>
    </row>
    <row r="19" spans="1:5" ht="15" customHeight="1" x14ac:dyDescent="0.25">
      <c r="A19" s="1"/>
      <c r="B19" s="80" t="s">
        <v>154</v>
      </c>
      <c r="C19" s="10">
        <f>'Fane 8. Skattesagen'!G14</f>
        <v>0</v>
      </c>
      <c r="D19" s="11" t="s">
        <v>3</v>
      </c>
      <c r="E19" s="1"/>
    </row>
    <row r="20" spans="1:5" x14ac:dyDescent="0.25">
      <c r="A20" s="1"/>
      <c r="B20" s="67" t="s">
        <v>140</v>
      </c>
      <c r="C20" s="12">
        <f>SUM(C13,C15,C17,C19)</f>
        <v>51339430.081278503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OSkx7UHrRPht8XsDXiDZWV5y+j/kThm7r12rvos1rjXlCWw2BgiE6TyQaPLBE1VWE0P6AipuXBeoty8L9N9FcA==" saltValue="PzNQecUb4yJmYiHpQvDD8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168</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67" t="s">
        <v>12</v>
      </c>
      <c r="C7" s="68"/>
      <c r="D7" s="19"/>
      <c r="E7" s="1"/>
    </row>
    <row r="8" spans="1:5" ht="15" customHeight="1" x14ac:dyDescent="0.25">
      <c r="A8" s="1"/>
      <c r="B8" s="75" t="s">
        <v>169</v>
      </c>
      <c r="C8" s="7">
        <f>'Fane 2.3. Økonomisk ramme 2025'!C13</f>
        <v>26734916.366071705</v>
      </c>
      <c r="D8" s="8" t="s">
        <v>3</v>
      </c>
      <c r="E8" s="1"/>
    </row>
    <row r="9" spans="1:5" ht="15" customHeight="1" x14ac:dyDescent="0.25">
      <c r="A9" s="1"/>
      <c r="B9" s="64" t="s">
        <v>17</v>
      </c>
      <c r="C9" s="9">
        <f>SUM(C8:C8)*'Fane 13. Nøgletal'!C15</f>
        <v>951763.02263215266</v>
      </c>
      <c r="D9" s="8" t="s">
        <v>3</v>
      </c>
      <c r="E9" s="1"/>
    </row>
    <row r="10" spans="1:5" ht="15" customHeight="1" x14ac:dyDescent="0.25">
      <c r="A10" s="1"/>
      <c r="B10" s="64" t="s">
        <v>9</v>
      </c>
      <c r="C10" s="9">
        <f>-SUM(C8:C9)*'Fane 5. Individuelt eff. krav'!G9</f>
        <v>-330822.10816017649</v>
      </c>
      <c r="D10" s="8" t="s">
        <v>3</v>
      </c>
      <c r="E10" s="1"/>
    </row>
    <row r="11" spans="1:5" ht="15" customHeight="1" x14ac:dyDescent="0.25">
      <c r="A11" s="1"/>
      <c r="B11" s="64" t="s">
        <v>23</v>
      </c>
      <c r="C11" s="9">
        <f>-'Fane 4.1. Gen. krav - drift'!G58</f>
        <v>-225592.13467091986</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27130265.145872761</v>
      </c>
      <c r="D13" s="11" t="s">
        <v>3</v>
      </c>
      <c r="E13" s="1"/>
    </row>
    <row r="14" spans="1:5" x14ac:dyDescent="0.25">
      <c r="A14" s="1"/>
      <c r="B14" s="67" t="s">
        <v>11</v>
      </c>
      <c r="C14" s="68"/>
      <c r="D14" s="19"/>
      <c r="E14" s="1"/>
    </row>
    <row r="15" spans="1:5" ht="15" customHeight="1" x14ac:dyDescent="0.25">
      <c r="A15" s="1"/>
      <c r="B15" s="69" t="s">
        <v>11</v>
      </c>
      <c r="C15" s="10">
        <f>'Fane 6. Ikke-påvirkelige omk.'!C13*(1+'Fane 13. Nøgletal'!C15)^3</f>
        <v>25480434.403468162</v>
      </c>
      <c r="D15" s="11" t="s">
        <v>3</v>
      </c>
      <c r="E15" s="1"/>
    </row>
    <row r="16" spans="1:5" x14ac:dyDescent="0.25">
      <c r="A16" s="1"/>
      <c r="B16" s="67" t="s">
        <v>128</v>
      </c>
      <c r="C16" s="68"/>
      <c r="D16" s="19"/>
      <c r="E16" s="1"/>
    </row>
    <row r="17" spans="1:5" x14ac:dyDescent="0.25">
      <c r="A17" s="1"/>
      <c r="B17" s="69" t="s">
        <v>129</v>
      </c>
      <c r="C17" s="10">
        <v>0</v>
      </c>
      <c r="D17" s="11" t="s">
        <v>3</v>
      </c>
      <c r="E17" s="1"/>
    </row>
    <row r="18" spans="1:5" x14ac:dyDescent="0.25">
      <c r="A18" s="1"/>
      <c r="B18" s="25" t="s">
        <v>153</v>
      </c>
      <c r="C18" s="68"/>
      <c r="D18" s="19"/>
      <c r="E18" s="1"/>
    </row>
    <row r="19" spans="1:5" x14ac:dyDescent="0.25">
      <c r="A19" s="1"/>
      <c r="B19" s="80" t="s">
        <v>154</v>
      </c>
      <c r="C19" s="10">
        <f>'Fane 8. Skattesagen'!G15</f>
        <v>0</v>
      </c>
      <c r="D19" s="11" t="s">
        <v>3</v>
      </c>
      <c r="E19" s="1"/>
    </row>
    <row r="20" spans="1:5" x14ac:dyDescent="0.25">
      <c r="A20" s="1"/>
      <c r="B20" s="67" t="s">
        <v>170</v>
      </c>
      <c r="C20" s="12">
        <f>SUM(C13,C15,C17,C19)</f>
        <v>52610699.549340919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L8MrzMnLAdzHyzWVx4qWNtIWf3qI8Axk/DFpAB760qonmWafTugJtfpRdwgANIs+0/56tJz6Ml8abdBDrh7fQ==" saltValue="l6JuPbmJAF3j+vga5j2PZ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topLeftCell="A49" zoomScaleNormal="100" workbookViewId="0">
      <selection activeCell="B13" sqref="B13:D13"/>
    </sheetView>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171</v>
      </c>
      <c r="C3" s="115"/>
      <c r="D3" s="115"/>
      <c r="E3" s="115"/>
      <c r="F3" s="115"/>
      <c r="G3" s="1"/>
    </row>
    <row r="4" spans="1:7" ht="29.2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2" t="s">
        <v>172</v>
      </c>
      <c r="C8" s="83"/>
      <c r="D8" s="83"/>
      <c r="E8" s="83"/>
      <c r="F8" s="19"/>
      <c r="G8" s="1"/>
    </row>
    <row r="9" spans="1:7" x14ac:dyDescent="0.25">
      <c r="A9" s="1"/>
      <c r="B9" s="116" t="s">
        <v>22</v>
      </c>
      <c r="C9" s="117"/>
      <c r="D9" s="118"/>
      <c r="E9" s="7">
        <v>25600824.625362467</v>
      </c>
      <c r="F9" s="8" t="s">
        <v>3</v>
      </c>
      <c r="G9" s="1"/>
    </row>
    <row r="10" spans="1:7" ht="15" customHeight="1" x14ac:dyDescent="0.25">
      <c r="A10" s="1"/>
      <c r="B10" s="109" t="s">
        <v>35</v>
      </c>
      <c r="C10" s="110"/>
      <c r="D10" s="111"/>
      <c r="E10" s="9">
        <v>0</v>
      </c>
      <c r="F10" s="8" t="s">
        <v>3</v>
      </c>
      <c r="G10" s="1"/>
    </row>
    <row r="11" spans="1:7" ht="15" customHeight="1" x14ac:dyDescent="0.25">
      <c r="A11" s="1"/>
      <c r="B11" s="109" t="s">
        <v>36</v>
      </c>
      <c r="C11" s="110"/>
      <c r="D11" s="111"/>
      <c r="E11" s="9">
        <v>0</v>
      </c>
      <c r="F11" s="8" t="s">
        <v>3</v>
      </c>
      <c r="G11" s="1"/>
    </row>
    <row r="12" spans="1:7" x14ac:dyDescent="0.25">
      <c r="A12" s="1"/>
      <c r="B12" s="109" t="s">
        <v>26</v>
      </c>
      <c r="C12" s="110"/>
      <c r="D12" s="111"/>
      <c r="E12" s="9">
        <v>0</v>
      </c>
      <c r="F12" s="8" t="s">
        <v>3</v>
      </c>
      <c r="G12" s="1"/>
    </row>
    <row r="13" spans="1:7" x14ac:dyDescent="0.25">
      <c r="A13" s="1"/>
      <c r="B13" s="109" t="s">
        <v>25</v>
      </c>
      <c r="C13" s="110"/>
      <c r="D13" s="111"/>
      <c r="E13" s="9">
        <v>0</v>
      </c>
      <c r="F13" s="8" t="s">
        <v>3</v>
      </c>
      <c r="G13" s="1"/>
    </row>
    <row r="14" spans="1:7" x14ac:dyDescent="0.25">
      <c r="A14" s="1"/>
      <c r="B14" s="109" t="s">
        <v>114</v>
      </c>
      <c r="C14" s="110"/>
      <c r="D14" s="111"/>
      <c r="E14" s="9">
        <v>0</v>
      </c>
      <c r="F14" s="8" t="s">
        <v>3</v>
      </c>
      <c r="G14" s="1"/>
    </row>
    <row r="15" spans="1:7" x14ac:dyDescent="0.25">
      <c r="A15" s="1"/>
      <c r="B15" s="109" t="s">
        <v>115</v>
      </c>
      <c r="C15" s="110"/>
      <c r="D15" s="111"/>
      <c r="E15" s="9">
        <v>0</v>
      </c>
      <c r="F15" s="8" t="s">
        <v>3</v>
      </c>
      <c r="G15" s="1"/>
    </row>
    <row r="16" spans="1:7" x14ac:dyDescent="0.25">
      <c r="A16" s="1"/>
      <c r="B16" s="109" t="s">
        <v>17</v>
      </c>
      <c r="C16" s="110"/>
      <c r="D16" s="111"/>
      <c r="E16" s="9">
        <v>312330.06042942213</v>
      </c>
      <c r="F16" s="8" t="s">
        <v>3</v>
      </c>
      <c r="G16" s="30"/>
    </row>
    <row r="17" spans="1:7" x14ac:dyDescent="0.25">
      <c r="A17" s="1"/>
      <c r="B17" s="109" t="s">
        <v>9</v>
      </c>
      <c r="C17" s="110"/>
      <c r="D17" s="111"/>
      <c r="E17" s="9">
        <v>-52518.175189518173</v>
      </c>
      <c r="F17" s="8" t="s">
        <v>3</v>
      </c>
      <c r="G17" s="1"/>
    </row>
    <row r="18" spans="1:7" x14ac:dyDescent="0.25">
      <c r="A18" s="1"/>
      <c r="B18" s="109" t="s">
        <v>23</v>
      </c>
      <c r="C18" s="110"/>
      <c r="D18" s="111"/>
      <c r="E18" s="9">
        <v>-205674.40765400373</v>
      </c>
      <c r="F18" s="8" t="s">
        <v>3</v>
      </c>
      <c r="G18" s="1"/>
    </row>
    <row r="19" spans="1:7" x14ac:dyDescent="0.25">
      <c r="A19" s="1"/>
      <c r="B19" s="109" t="s">
        <v>24</v>
      </c>
      <c r="C19" s="110"/>
      <c r="D19" s="111"/>
      <c r="E19" s="9">
        <v>-459163.05787558749</v>
      </c>
      <c r="F19" s="8" t="s">
        <v>3</v>
      </c>
      <c r="G19" s="1"/>
    </row>
    <row r="20" spans="1:7" x14ac:dyDescent="0.25">
      <c r="A20" s="1"/>
      <c r="B20" s="122" t="s">
        <v>19</v>
      </c>
      <c r="C20" s="123"/>
      <c r="D20" s="124"/>
      <c r="E20" s="31">
        <f>SUM(E9:E19)</f>
        <v>25195799.045072779</v>
      </c>
      <c r="F20" s="34" t="s">
        <v>3</v>
      </c>
      <c r="G20" s="1"/>
    </row>
    <row r="21" spans="1:7" x14ac:dyDescent="0.25">
      <c r="A21" s="1"/>
      <c r="B21" s="82" t="s">
        <v>11</v>
      </c>
      <c r="C21" s="83"/>
      <c r="D21" s="83"/>
      <c r="E21" s="83"/>
      <c r="F21" s="19"/>
      <c r="G21" s="1"/>
    </row>
    <row r="22" spans="1:7" x14ac:dyDescent="0.25">
      <c r="A22" s="1"/>
      <c r="B22" s="112" t="s">
        <v>11</v>
      </c>
      <c r="C22" s="113"/>
      <c r="D22" s="114"/>
      <c r="E22" s="10">
        <v>19825747.061652385</v>
      </c>
      <c r="F22" s="11" t="s">
        <v>3</v>
      </c>
      <c r="G22" s="1"/>
    </row>
    <row r="23" spans="1:7" ht="15" customHeight="1" x14ac:dyDescent="0.25">
      <c r="A23" s="1"/>
      <c r="B23" s="128" t="s">
        <v>80</v>
      </c>
      <c r="C23" s="129"/>
      <c r="D23" s="129"/>
      <c r="E23" s="83"/>
      <c r="F23" s="19"/>
      <c r="G23" s="1"/>
    </row>
    <row r="24" spans="1:7" ht="14.25" customHeight="1" x14ac:dyDescent="0.25">
      <c r="A24" s="1"/>
      <c r="B24" s="119" t="s">
        <v>76</v>
      </c>
      <c r="C24" s="120"/>
      <c r="D24" s="121"/>
      <c r="E24" s="9">
        <v>0</v>
      </c>
      <c r="F24" s="8" t="s">
        <v>3</v>
      </c>
      <c r="G24" s="1"/>
    </row>
    <row r="25" spans="1:7" ht="14.25" customHeight="1" x14ac:dyDescent="0.25">
      <c r="A25" s="1"/>
      <c r="B25" s="119" t="s">
        <v>77</v>
      </c>
      <c r="C25" s="120"/>
      <c r="D25" s="121"/>
      <c r="E25" s="9">
        <v>0</v>
      </c>
      <c r="F25" s="8" t="s">
        <v>3</v>
      </c>
      <c r="G25" s="1"/>
    </row>
    <row r="26" spans="1:7" x14ac:dyDescent="0.25">
      <c r="A26" s="1"/>
      <c r="B26" s="125" t="s">
        <v>81</v>
      </c>
      <c r="C26" s="126"/>
      <c r="D26" s="126"/>
      <c r="E26" s="10">
        <v>0</v>
      </c>
      <c r="F26" s="11" t="s">
        <v>3</v>
      </c>
      <c r="G26" s="1"/>
    </row>
    <row r="27" spans="1:7" x14ac:dyDescent="0.25">
      <c r="A27" s="1"/>
      <c r="B27" s="82" t="s">
        <v>128</v>
      </c>
      <c r="C27" s="83"/>
      <c r="D27" s="83"/>
      <c r="E27" s="83"/>
      <c r="F27" s="19"/>
      <c r="G27" s="1"/>
    </row>
    <row r="28" spans="1:7" ht="15" customHeight="1" x14ac:dyDescent="0.25">
      <c r="A28" s="1"/>
      <c r="B28" s="125" t="s">
        <v>129</v>
      </c>
      <c r="C28" s="126"/>
      <c r="D28" s="127"/>
      <c r="E28" s="10">
        <v>0</v>
      </c>
      <c r="F28" s="11" t="s">
        <v>3</v>
      </c>
      <c r="G28" s="1"/>
    </row>
    <row r="29" spans="1:7" x14ac:dyDescent="0.25">
      <c r="A29" s="1"/>
      <c r="B29" s="82" t="s">
        <v>159</v>
      </c>
      <c r="C29" s="83"/>
      <c r="D29" s="83"/>
      <c r="E29" s="83"/>
      <c r="F29" s="19"/>
      <c r="G29" s="1"/>
    </row>
    <row r="30" spans="1:7" ht="15.75" customHeight="1" x14ac:dyDescent="0.25">
      <c r="A30" s="1"/>
      <c r="B30" s="112" t="s">
        <v>160</v>
      </c>
      <c r="C30" s="113"/>
      <c r="D30" s="114"/>
      <c r="E30" s="10">
        <v>0</v>
      </c>
      <c r="F30" s="11" t="s">
        <v>3</v>
      </c>
      <c r="G30" s="1"/>
    </row>
    <row r="31" spans="1:7" ht="15.75" customHeight="1" x14ac:dyDescent="0.25">
      <c r="A31" s="1"/>
      <c r="B31" s="130" t="s">
        <v>153</v>
      </c>
      <c r="C31" s="131"/>
      <c r="D31" s="131"/>
      <c r="E31" s="131"/>
      <c r="F31" s="132"/>
      <c r="G31" s="1"/>
    </row>
    <row r="32" spans="1:7" ht="15.75" customHeight="1" x14ac:dyDescent="0.25">
      <c r="A32" s="1"/>
      <c r="B32" s="87" t="s">
        <v>154</v>
      </c>
      <c r="C32" s="10"/>
      <c r="D32" s="11"/>
      <c r="E32" s="10">
        <f>'Fane 8. Skattesagen'!G11</f>
        <v>0</v>
      </c>
      <c r="F32" s="11" t="s">
        <v>3</v>
      </c>
      <c r="G32" s="1"/>
    </row>
    <row r="33" spans="1:7" x14ac:dyDescent="0.25">
      <c r="A33" s="1"/>
      <c r="B33" s="35" t="s">
        <v>27</v>
      </c>
      <c r="C33" s="38"/>
      <c r="D33" s="38"/>
      <c r="E33" s="32">
        <f>E20+E22+E26+E28+E30+E32</f>
        <v>45021546.106725164</v>
      </c>
      <c r="F33" s="37" t="s">
        <v>3</v>
      </c>
      <c r="G33" s="1"/>
    </row>
    <row r="34" spans="1:7" ht="27.75" customHeight="1" x14ac:dyDescent="0.25">
      <c r="A34" s="1"/>
      <c r="B34" s="119" t="s">
        <v>173</v>
      </c>
      <c r="C34" s="120"/>
      <c r="D34" s="120"/>
      <c r="E34" s="120"/>
      <c r="F34" s="12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eAEGyRzmAsQMMQM9ma93AQ/qwl8Ovwhxzt/E9+CC2SbvUWrO3DK2YQyo9/xsNeUBCu3mOUHX1vVagnVBE/Ge5w==" saltValue="BFqRkTKwxpRUjZ2V2jivDg=="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2.85546875" style="2" customWidth="1"/>
    <col min="2" max="5" width="9" style="2"/>
    <col min="6" max="6" width="24.42578125" style="2" customWidth="1"/>
    <col min="7" max="7" width="13.28515625" style="43" customWidth="1"/>
    <col min="8" max="8" width="3.7109375" style="2" customWidth="1"/>
    <col min="9" max="9" width="3.140625" style="2" customWidth="1"/>
    <col min="10" max="16384" width="9" style="2"/>
  </cols>
  <sheetData>
    <row r="1" spans="1:9" ht="15" customHeight="1" x14ac:dyDescent="0.25">
      <c r="A1" s="1"/>
      <c r="B1" s="115" t="s">
        <v>98</v>
      </c>
      <c r="C1" s="115"/>
      <c r="D1" s="115"/>
      <c r="E1" s="115"/>
      <c r="F1" s="115"/>
      <c r="G1" s="115"/>
      <c r="H1" s="115"/>
      <c r="I1" s="1"/>
    </row>
    <row r="2" spans="1:9" ht="15" customHeight="1" x14ac:dyDescent="0.25">
      <c r="A2" s="1"/>
      <c r="B2" s="115"/>
      <c r="C2" s="115"/>
      <c r="D2" s="115"/>
      <c r="E2" s="115"/>
      <c r="F2" s="115"/>
      <c r="G2" s="115"/>
      <c r="H2" s="115"/>
      <c r="I2" s="1"/>
    </row>
    <row r="3" spans="1:9" ht="15" customHeight="1" x14ac:dyDescent="0.25">
      <c r="A3" s="1"/>
      <c r="B3" s="115"/>
      <c r="C3" s="115"/>
      <c r="D3" s="115"/>
      <c r="E3" s="115"/>
      <c r="F3" s="115"/>
      <c r="G3" s="115"/>
      <c r="H3" s="115"/>
      <c r="I3" s="1"/>
    </row>
    <row r="4" spans="1:9" x14ac:dyDescent="0.25">
      <c r="A4" s="1"/>
      <c r="B4" s="130" t="s">
        <v>49</v>
      </c>
      <c r="C4" s="131"/>
      <c r="D4" s="131"/>
      <c r="E4" s="131"/>
      <c r="F4" s="131"/>
      <c r="G4" s="131"/>
      <c r="H4" s="132"/>
      <c r="I4" s="1"/>
    </row>
    <row r="5" spans="1:9" x14ac:dyDescent="0.25">
      <c r="A5" s="1"/>
      <c r="B5" s="133" t="s">
        <v>38</v>
      </c>
      <c r="C5" s="134"/>
      <c r="D5" s="134"/>
      <c r="E5" s="134"/>
      <c r="F5" s="135"/>
      <c r="G5" s="58">
        <v>10443057.58097716</v>
      </c>
      <c r="H5" s="14" t="s">
        <v>3</v>
      </c>
      <c r="I5" s="1"/>
    </row>
    <row r="6" spans="1:9" x14ac:dyDescent="0.25">
      <c r="A6" s="1"/>
      <c r="B6" s="133" t="s">
        <v>39</v>
      </c>
      <c r="C6" s="134"/>
      <c r="D6" s="134"/>
      <c r="E6" s="134"/>
      <c r="F6" s="135"/>
      <c r="G6" s="58">
        <f>G5*'Fane 13. Nøgletal'!C31</f>
        <v>208861.15161954321</v>
      </c>
      <c r="H6" s="14" t="s">
        <v>3</v>
      </c>
      <c r="I6" s="1"/>
    </row>
    <row r="7" spans="1:9" x14ac:dyDescent="0.25">
      <c r="A7" s="1"/>
      <c r="B7" s="67"/>
      <c r="C7" s="68"/>
      <c r="D7" s="68"/>
      <c r="E7" s="68"/>
      <c r="F7" s="68"/>
      <c r="G7" s="59"/>
      <c r="H7" s="19"/>
      <c r="I7" s="1"/>
    </row>
    <row r="8" spans="1:9" x14ac:dyDescent="0.25">
      <c r="A8" s="1"/>
      <c r="B8" s="1"/>
      <c r="C8" s="1"/>
      <c r="D8" s="1"/>
      <c r="E8" s="1"/>
      <c r="F8" s="1"/>
      <c r="G8" s="60"/>
      <c r="H8" s="1"/>
      <c r="I8" s="1"/>
    </row>
    <row r="9" spans="1:9" x14ac:dyDescent="0.25">
      <c r="A9" s="1"/>
      <c r="B9" s="130" t="s">
        <v>50</v>
      </c>
      <c r="C9" s="131"/>
      <c r="D9" s="131"/>
      <c r="E9" s="131"/>
      <c r="F9" s="131"/>
      <c r="G9" s="136"/>
      <c r="H9" s="132"/>
      <c r="I9" s="1"/>
    </row>
    <row r="10" spans="1:9" x14ac:dyDescent="0.25">
      <c r="A10" s="1"/>
      <c r="B10" s="133" t="s">
        <v>40</v>
      </c>
      <c r="C10" s="134"/>
      <c r="D10" s="134"/>
      <c r="E10" s="134"/>
      <c r="F10" s="135"/>
      <c r="G10" s="58">
        <f>(G5-G6)*(1+'Fane 13. Nøgletal'!C9)</f>
        <v>10364170.72401046</v>
      </c>
      <c r="H10" s="14" t="s">
        <v>3</v>
      </c>
      <c r="I10" s="1"/>
    </row>
    <row r="11" spans="1:9" x14ac:dyDescent="0.25">
      <c r="A11" s="1"/>
      <c r="B11" s="137" t="s">
        <v>41</v>
      </c>
      <c r="C11" s="138"/>
      <c r="D11" s="138"/>
      <c r="E11" s="138"/>
      <c r="F11" s="139"/>
      <c r="G11" s="58">
        <v>159246.66615</v>
      </c>
      <c r="H11" s="14" t="s">
        <v>3</v>
      </c>
      <c r="I11" s="1"/>
    </row>
    <row r="12" spans="1:9" x14ac:dyDescent="0.25">
      <c r="A12" s="1"/>
      <c r="B12" s="133" t="s">
        <v>42</v>
      </c>
      <c r="C12" s="134"/>
      <c r="D12" s="134"/>
      <c r="E12" s="134"/>
      <c r="F12" s="135"/>
      <c r="G12" s="58">
        <f>(G10+G11)*'Fane 13. Nøgletal'!C31</f>
        <v>210468.34780320921</v>
      </c>
      <c r="H12" s="14" t="s">
        <v>3</v>
      </c>
      <c r="I12" s="1"/>
    </row>
    <row r="13" spans="1:9" x14ac:dyDescent="0.25">
      <c r="A13" s="1"/>
      <c r="B13" s="67"/>
      <c r="C13" s="68"/>
      <c r="D13" s="68"/>
      <c r="E13" s="68"/>
      <c r="F13" s="68"/>
      <c r="G13" s="59"/>
      <c r="H13" s="19"/>
      <c r="I13" s="1"/>
    </row>
    <row r="14" spans="1:9" x14ac:dyDescent="0.25">
      <c r="A14" s="1"/>
      <c r="B14" s="1"/>
      <c r="C14" s="1"/>
      <c r="D14" s="1"/>
      <c r="E14" s="1"/>
      <c r="F14" s="1"/>
      <c r="G14" s="60"/>
      <c r="H14" s="1"/>
      <c r="I14" s="1"/>
    </row>
    <row r="15" spans="1:9" x14ac:dyDescent="0.25">
      <c r="A15" s="1"/>
      <c r="B15" s="130" t="s">
        <v>51</v>
      </c>
      <c r="C15" s="131"/>
      <c r="D15" s="131"/>
      <c r="E15" s="131"/>
      <c r="F15" s="131"/>
      <c r="G15" s="136"/>
      <c r="H15" s="132"/>
      <c r="I15" s="1"/>
    </row>
    <row r="16" spans="1:9" x14ac:dyDescent="0.25">
      <c r="A16" s="1"/>
      <c r="B16" s="133" t="s">
        <v>43</v>
      </c>
      <c r="C16" s="134"/>
      <c r="D16" s="134"/>
      <c r="E16" s="134"/>
      <c r="F16" s="135"/>
      <c r="G16" s="58">
        <f>(G10+G11-G12)*(1+'Fane 13. Nøgletal'!C11)</f>
        <v>10487237.881173087</v>
      </c>
      <c r="H16" s="14" t="s">
        <v>3</v>
      </c>
      <c r="I16" s="1"/>
    </row>
    <row r="17" spans="1:9" x14ac:dyDescent="0.25">
      <c r="A17" s="1"/>
      <c r="B17" s="133" t="s">
        <v>108</v>
      </c>
      <c r="C17" s="134"/>
      <c r="D17" s="134"/>
      <c r="E17" s="134"/>
      <c r="F17" s="135"/>
      <c r="G17" s="58">
        <v>0</v>
      </c>
      <c r="H17" s="14" t="s">
        <v>3</v>
      </c>
      <c r="I17" s="1"/>
    </row>
    <row r="18" spans="1:9" x14ac:dyDescent="0.25">
      <c r="A18" s="1"/>
      <c r="B18" s="137" t="s">
        <v>44</v>
      </c>
      <c r="C18" s="138"/>
      <c r="D18" s="138"/>
      <c r="E18" s="138"/>
      <c r="F18" s="139"/>
      <c r="G18" s="58">
        <v>0</v>
      </c>
      <c r="H18" s="14" t="s">
        <v>3</v>
      </c>
      <c r="I18" s="1"/>
    </row>
    <row r="19" spans="1:9" x14ac:dyDescent="0.25">
      <c r="A19" s="1"/>
      <c r="B19" s="133" t="s">
        <v>45</v>
      </c>
      <c r="C19" s="134"/>
      <c r="D19" s="134"/>
      <c r="E19" s="134"/>
      <c r="F19" s="135"/>
      <c r="G19" s="58">
        <f>SUM(G16:G18)*'Fane 13. Nøgletal'!C31</f>
        <v>209744.75762346174</v>
      </c>
      <c r="H19" s="14" t="s">
        <v>3</v>
      </c>
      <c r="I19" s="1"/>
    </row>
    <row r="20" spans="1:9" x14ac:dyDescent="0.25">
      <c r="A20" s="1"/>
      <c r="B20" s="67"/>
      <c r="C20" s="68"/>
      <c r="D20" s="68"/>
      <c r="E20" s="68"/>
      <c r="F20" s="68"/>
      <c r="G20" s="59"/>
      <c r="H20" s="19"/>
      <c r="I20" s="1"/>
    </row>
    <row r="21" spans="1:9" x14ac:dyDescent="0.25">
      <c r="A21" s="1"/>
      <c r="B21" s="1"/>
      <c r="C21" s="1"/>
      <c r="D21" s="1"/>
      <c r="E21" s="1"/>
      <c r="F21" s="1"/>
      <c r="G21" s="60"/>
      <c r="H21" s="1"/>
      <c r="I21" s="1"/>
    </row>
    <row r="22" spans="1:9" x14ac:dyDescent="0.25">
      <c r="A22" s="1"/>
      <c r="B22" s="130" t="s">
        <v>52</v>
      </c>
      <c r="C22" s="131"/>
      <c r="D22" s="131"/>
      <c r="E22" s="131"/>
      <c r="F22" s="131"/>
      <c r="G22" s="136"/>
      <c r="H22" s="132"/>
      <c r="I22" s="1"/>
    </row>
    <row r="23" spans="1:9" x14ac:dyDescent="0.25">
      <c r="A23" s="1"/>
      <c r="B23" s="133" t="s">
        <v>46</v>
      </c>
      <c r="C23" s="134"/>
      <c r="D23" s="134"/>
      <c r="E23" s="134"/>
      <c r="F23" s="135"/>
      <c r="G23" s="58">
        <f>(SUM(G16:G18)-G19)*(1+'Fane 13. Nøgletal'!C11)</f>
        <v>10451182.757337613</v>
      </c>
      <c r="H23" s="14" t="s">
        <v>3</v>
      </c>
      <c r="I23" s="1"/>
    </row>
    <row r="24" spans="1:9" x14ac:dyDescent="0.25">
      <c r="A24" s="1"/>
      <c r="B24" s="137" t="s">
        <v>47</v>
      </c>
      <c r="C24" s="138"/>
      <c r="D24" s="138"/>
      <c r="E24" s="138"/>
      <c r="F24" s="139"/>
      <c r="G24" s="58">
        <v>0</v>
      </c>
      <c r="H24" s="14" t="s">
        <v>3</v>
      </c>
      <c r="I24" s="1"/>
    </row>
    <row r="25" spans="1:9" x14ac:dyDescent="0.25">
      <c r="A25" s="1"/>
      <c r="B25" s="133" t="s">
        <v>48</v>
      </c>
      <c r="C25" s="134"/>
      <c r="D25" s="134"/>
      <c r="E25" s="134"/>
      <c r="F25" s="135"/>
      <c r="G25" s="58">
        <f>(G23+G24)*'Fane 13. Nøgletal'!C31</f>
        <v>209023.65514675225</v>
      </c>
      <c r="H25" s="14" t="s">
        <v>3</v>
      </c>
      <c r="I25" s="1"/>
    </row>
    <row r="26" spans="1:9" x14ac:dyDescent="0.25">
      <c r="A26" s="1"/>
      <c r="B26" s="67"/>
      <c r="C26" s="68"/>
      <c r="D26" s="68"/>
      <c r="E26" s="68"/>
      <c r="F26" s="68"/>
      <c r="G26" s="59"/>
      <c r="H26" s="19"/>
      <c r="I26" s="1"/>
    </row>
    <row r="27" spans="1:9" x14ac:dyDescent="0.25">
      <c r="A27" s="1"/>
      <c r="B27" s="1"/>
      <c r="C27" s="1"/>
      <c r="D27" s="1"/>
      <c r="E27" s="1"/>
      <c r="F27" s="1"/>
      <c r="G27" s="60"/>
      <c r="H27" s="1"/>
      <c r="I27" s="1"/>
    </row>
    <row r="28" spans="1:9" x14ac:dyDescent="0.25">
      <c r="A28" s="1"/>
      <c r="B28" s="130" t="s">
        <v>132</v>
      </c>
      <c r="C28" s="131"/>
      <c r="D28" s="131"/>
      <c r="E28" s="131"/>
      <c r="F28" s="131"/>
      <c r="G28" s="136"/>
      <c r="H28" s="132"/>
      <c r="I28" s="1"/>
    </row>
    <row r="29" spans="1:9" x14ac:dyDescent="0.25">
      <c r="A29" s="1"/>
      <c r="B29" s="133" t="s">
        <v>55</v>
      </c>
      <c r="C29" s="134"/>
      <c r="D29" s="134"/>
      <c r="E29" s="134"/>
      <c r="F29" s="135"/>
      <c r="G29" s="58">
        <f>(G23+G24-G25)*(1+'Fane 13. Nøgletal'!C13)</f>
        <v>10367113.44323759</v>
      </c>
      <c r="H29" s="14" t="s">
        <v>3</v>
      </c>
      <c r="I29" s="1"/>
    </row>
    <row r="30" spans="1:9" x14ac:dyDescent="0.25">
      <c r="A30" s="1"/>
      <c r="B30" s="133" t="s">
        <v>121</v>
      </c>
      <c r="C30" s="134"/>
      <c r="D30" s="134"/>
      <c r="E30" s="134"/>
      <c r="F30" s="135"/>
      <c r="G30" s="58">
        <v>0</v>
      </c>
      <c r="H30" s="14" t="s">
        <v>3</v>
      </c>
      <c r="I30" s="1"/>
    </row>
    <row r="31" spans="1:9" x14ac:dyDescent="0.25">
      <c r="A31" s="1"/>
      <c r="B31" s="133" t="s">
        <v>126</v>
      </c>
      <c r="C31" s="134"/>
      <c r="D31" s="134"/>
      <c r="E31" s="134"/>
      <c r="F31" s="135"/>
      <c r="G31" s="58">
        <f>(G29+G30)*'Fane 13. Nøgletal'!C31</f>
        <v>207342.26886475179</v>
      </c>
      <c r="H31" s="14" t="s">
        <v>3</v>
      </c>
      <c r="I31" s="1"/>
    </row>
    <row r="32" spans="1:9" x14ac:dyDescent="0.25">
      <c r="A32" s="1"/>
      <c r="B32" s="67"/>
      <c r="C32" s="68"/>
      <c r="D32" s="68"/>
      <c r="E32" s="68"/>
      <c r="F32" s="68"/>
      <c r="G32" s="59"/>
      <c r="H32" s="19"/>
      <c r="I32" s="1"/>
    </row>
    <row r="33" spans="1:9" x14ac:dyDescent="0.25">
      <c r="A33" s="1"/>
      <c r="B33" s="1"/>
      <c r="C33" s="1"/>
      <c r="D33" s="1"/>
      <c r="E33" s="1"/>
      <c r="F33" s="1"/>
      <c r="G33" s="60"/>
      <c r="H33" s="1"/>
      <c r="I33" s="1"/>
    </row>
    <row r="34" spans="1:9" x14ac:dyDescent="0.25">
      <c r="A34" s="1"/>
      <c r="B34" s="130" t="s">
        <v>133</v>
      </c>
      <c r="C34" s="131"/>
      <c r="D34" s="131"/>
      <c r="E34" s="131"/>
      <c r="F34" s="131"/>
      <c r="G34" s="136"/>
      <c r="H34" s="132"/>
      <c r="I34" s="1"/>
    </row>
    <row r="35" spans="1:9" x14ac:dyDescent="0.25">
      <c r="A35" s="1"/>
      <c r="B35" s="133" t="s">
        <v>74</v>
      </c>
      <c r="C35" s="134"/>
      <c r="D35" s="134"/>
      <c r="E35" s="134"/>
      <c r="F35" s="135"/>
      <c r="G35" s="58">
        <f>(G29+G30-G31)*(1+'Fane 13. Nøgletal'!C13)</f>
        <v>10283720.382700186</v>
      </c>
      <c r="H35" s="14" t="s">
        <v>3</v>
      </c>
      <c r="I35" s="1"/>
    </row>
    <row r="36" spans="1:9" x14ac:dyDescent="0.25">
      <c r="A36" s="1"/>
      <c r="B36" s="133" t="s">
        <v>152</v>
      </c>
      <c r="C36" s="134"/>
      <c r="D36" s="134"/>
      <c r="E36" s="134"/>
      <c r="F36" s="135"/>
      <c r="G36" s="58">
        <f>('Fane 3. Omkostninger i ØR2022'!E10+'Fane 3. Omkostninger i ØR2022'!E12+'Fane 3. Omkostninger i ØR2022'!E14)*(1+'Fane 13. Nøgletal'!C14)</f>
        <v>0</v>
      </c>
      <c r="H36" s="14" t="s">
        <v>3</v>
      </c>
      <c r="I36" s="1"/>
    </row>
    <row r="37" spans="1:9" x14ac:dyDescent="0.25">
      <c r="A37" s="1"/>
      <c r="B37" s="133" t="s">
        <v>134</v>
      </c>
      <c r="C37" s="134"/>
      <c r="D37" s="134"/>
      <c r="E37" s="134"/>
      <c r="F37" s="135"/>
      <c r="G37" s="58">
        <f>(G35+G36)*'Fane 13. Nøgletal'!C31</f>
        <v>205674.40765400373</v>
      </c>
      <c r="H37" s="14" t="s">
        <v>3</v>
      </c>
      <c r="I37" s="1"/>
    </row>
    <row r="38" spans="1:9" x14ac:dyDescent="0.25">
      <c r="A38" s="1"/>
      <c r="B38" s="67"/>
      <c r="C38" s="68"/>
      <c r="D38" s="68"/>
      <c r="E38" s="68"/>
      <c r="F38" s="68"/>
      <c r="G38" s="59"/>
      <c r="H38" s="19"/>
      <c r="I38" s="1"/>
    </row>
    <row r="39" spans="1:9" x14ac:dyDescent="0.25">
      <c r="A39" s="1"/>
      <c r="B39" s="1"/>
      <c r="C39" s="1"/>
      <c r="D39" s="1"/>
      <c r="E39" s="1"/>
      <c r="F39" s="1"/>
      <c r="G39" s="60"/>
      <c r="H39" s="1"/>
      <c r="I39" s="1"/>
    </row>
    <row r="40" spans="1:9" x14ac:dyDescent="0.25">
      <c r="A40" s="1"/>
      <c r="B40" s="130" t="s">
        <v>198</v>
      </c>
      <c r="C40" s="131"/>
      <c r="D40" s="131"/>
      <c r="E40" s="131"/>
      <c r="F40" s="131"/>
      <c r="G40" s="136"/>
      <c r="H40" s="132"/>
      <c r="I40" s="1"/>
    </row>
    <row r="41" spans="1:9" x14ac:dyDescent="0.25">
      <c r="A41" s="1"/>
      <c r="B41" s="133" t="s">
        <v>73</v>
      </c>
      <c r="C41" s="134"/>
      <c r="D41" s="134"/>
      <c r="E41" s="134"/>
      <c r="F41" s="135"/>
      <c r="G41" s="58">
        <f>(G35+G36-G37)*(1+'Fane 13. Nøgletal'!C15)</f>
        <v>10436824.411757827</v>
      </c>
      <c r="H41" s="14" t="s">
        <v>3</v>
      </c>
      <c r="I41" s="1"/>
    </row>
    <row r="42" spans="1:9" x14ac:dyDescent="0.25">
      <c r="A42" s="1"/>
      <c r="B42" s="133" t="s">
        <v>197</v>
      </c>
      <c r="C42" s="134"/>
      <c r="D42" s="134"/>
      <c r="E42" s="134"/>
      <c r="F42" s="135"/>
      <c r="G42" s="58">
        <f>('Fane 2.1. Økonomisk ramme 2023'!C9+'Fane 2.1. Økonomisk ramme 2023'!C11+'Fane 2.1. Økonomisk ramme 2023'!C13)*(1+'Fane 13. Nøgletal'!C15)</f>
        <v>353626.80754752009</v>
      </c>
      <c r="H42" s="14" t="s">
        <v>3</v>
      </c>
      <c r="I42" s="1"/>
    </row>
    <row r="43" spans="1:9" x14ac:dyDescent="0.25">
      <c r="A43" s="1"/>
      <c r="B43" s="133" t="s">
        <v>208</v>
      </c>
      <c r="C43" s="134"/>
      <c r="D43" s="134"/>
      <c r="E43" s="134"/>
      <c r="F43" s="135"/>
      <c r="G43" s="58">
        <f>(G41+G42)*'Fane 13. Nøgletal'!C31</f>
        <v>215809.02438610696</v>
      </c>
      <c r="H43" s="14" t="s">
        <v>3</v>
      </c>
      <c r="I43" s="1"/>
    </row>
    <row r="44" spans="1:9" x14ac:dyDescent="0.25">
      <c r="A44" s="1"/>
      <c r="B44" s="67"/>
      <c r="C44" s="68"/>
      <c r="D44" s="68"/>
      <c r="E44" s="68"/>
      <c r="F44" s="68"/>
      <c r="G44" s="59"/>
      <c r="H44" s="19"/>
      <c r="I44" s="1"/>
    </row>
    <row r="45" spans="1:9" x14ac:dyDescent="0.25">
      <c r="A45" s="1"/>
      <c r="B45" s="1"/>
      <c r="C45" s="1"/>
      <c r="D45" s="1"/>
      <c r="E45" s="1"/>
      <c r="F45" s="1"/>
      <c r="G45" s="60"/>
      <c r="H45" s="1"/>
      <c r="I45" s="1"/>
    </row>
    <row r="46" spans="1:9" x14ac:dyDescent="0.25">
      <c r="A46" s="1"/>
      <c r="B46" s="130" t="s">
        <v>199</v>
      </c>
      <c r="C46" s="131"/>
      <c r="D46" s="131"/>
      <c r="E46" s="131"/>
      <c r="F46" s="131"/>
      <c r="G46" s="136"/>
      <c r="H46" s="132"/>
      <c r="I46" s="1"/>
    </row>
    <row r="47" spans="1:9" x14ac:dyDescent="0.25">
      <c r="A47" s="1"/>
      <c r="B47" s="133" t="s">
        <v>122</v>
      </c>
      <c r="C47" s="134"/>
      <c r="D47" s="134"/>
      <c r="E47" s="134"/>
      <c r="F47" s="135"/>
      <c r="G47" s="58">
        <f>(G41+G42-G43)*(1+'Fane 13. Nøgletal'!C15)</f>
        <v>10951099.457058368</v>
      </c>
      <c r="H47" s="14" t="s">
        <v>3</v>
      </c>
      <c r="I47" s="1"/>
    </row>
    <row r="48" spans="1:9" x14ac:dyDescent="0.25">
      <c r="A48" s="1"/>
      <c r="B48" s="133" t="s">
        <v>209</v>
      </c>
      <c r="C48" s="134"/>
      <c r="D48" s="134"/>
      <c r="E48" s="134"/>
      <c r="F48" s="135"/>
      <c r="G48" s="58">
        <f>(G47)*'Fane 13. Nøgletal'!C31</f>
        <v>219021.98914116737</v>
      </c>
      <c r="H48" s="14" t="s">
        <v>3</v>
      </c>
      <c r="I48" s="1"/>
    </row>
    <row r="49" spans="1:9" x14ac:dyDescent="0.25">
      <c r="A49" s="1"/>
      <c r="B49" s="67"/>
      <c r="C49" s="68"/>
      <c r="D49" s="68"/>
      <c r="E49" s="68"/>
      <c r="F49" s="68"/>
      <c r="G49" s="59"/>
      <c r="H49" s="19"/>
      <c r="I49" s="1"/>
    </row>
    <row r="50" spans="1:9" x14ac:dyDescent="0.25">
      <c r="A50" s="1"/>
      <c r="B50" s="1"/>
      <c r="C50" s="1"/>
      <c r="D50" s="1"/>
      <c r="E50" s="1"/>
      <c r="F50" s="1"/>
      <c r="G50" s="60"/>
      <c r="H50" s="1"/>
      <c r="I50" s="1"/>
    </row>
    <row r="51" spans="1:9" x14ac:dyDescent="0.25">
      <c r="A51" s="1"/>
      <c r="B51" s="130" t="s">
        <v>145</v>
      </c>
      <c r="C51" s="131"/>
      <c r="D51" s="131"/>
      <c r="E51" s="131"/>
      <c r="F51" s="131"/>
      <c r="G51" s="136"/>
      <c r="H51" s="132"/>
      <c r="I51" s="1"/>
    </row>
    <row r="52" spans="1:9" x14ac:dyDescent="0.25">
      <c r="A52" s="1"/>
      <c r="B52" s="133" t="s">
        <v>146</v>
      </c>
      <c r="C52" s="134"/>
      <c r="D52" s="134"/>
      <c r="E52" s="134"/>
      <c r="F52" s="135"/>
      <c r="G52" s="58">
        <f>(G47-G48)*(1+'Fane 13. Nøgletal'!C15)</f>
        <v>11114139.425775053</v>
      </c>
      <c r="H52" s="14" t="s">
        <v>3</v>
      </c>
      <c r="I52" s="1"/>
    </row>
    <row r="53" spans="1:9" x14ac:dyDescent="0.25">
      <c r="A53" s="1"/>
      <c r="B53" s="133" t="s">
        <v>147</v>
      </c>
      <c r="C53" s="134"/>
      <c r="D53" s="134"/>
      <c r="E53" s="134"/>
      <c r="F53" s="135"/>
      <c r="G53" s="58">
        <f>(G52)*'Fane 13. Nøgletal'!C31</f>
        <v>222282.78851550107</v>
      </c>
      <c r="H53" s="14" t="s">
        <v>3</v>
      </c>
      <c r="I53" s="1"/>
    </row>
    <row r="54" spans="1:9" x14ac:dyDescent="0.25">
      <c r="A54" s="1"/>
      <c r="B54" s="67"/>
      <c r="C54" s="68"/>
      <c r="D54" s="68"/>
      <c r="E54" s="68"/>
      <c r="F54" s="68"/>
      <c r="G54" s="59"/>
      <c r="H54" s="19"/>
      <c r="I54" s="1"/>
    </row>
    <row r="55" spans="1:9" x14ac:dyDescent="0.25">
      <c r="A55" s="1"/>
      <c r="B55" s="1"/>
      <c r="C55" s="1"/>
      <c r="D55" s="1"/>
      <c r="E55" s="1"/>
      <c r="F55" s="1"/>
      <c r="G55" s="60"/>
      <c r="H55" s="1"/>
      <c r="I55" s="1"/>
    </row>
    <row r="56" spans="1:9" x14ac:dyDescent="0.25">
      <c r="A56" s="1"/>
      <c r="B56" s="130" t="s">
        <v>174</v>
      </c>
      <c r="C56" s="131"/>
      <c r="D56" s="131"/>
      <c r="E56" s="131"/>
      <c r="F56" s="131"/>
      <c r="G56" s="136"/>
      <c r="H56" s="132"/>
      <c r="I56" s="1"/>
    </row>
    <row r="57" spans="1:9" x14ac:dyDescent="0.25">
      <c r="A57" s="1"/>
      <c r="B57" s="133" t="s">
        <v>175</v>
      </c>
      <c r="C57" s="134"/>
      <c r="D57" s="134"/>
      <c r="E57" s="134"/>
      <c r="F57" s="135"/>
      <c r="G57" s="58">
        <f>(G52-G53)*(1+'Fane 13. Nøgletal'!C15)</f>
        <v>11279606.733545993</v>
      </c>
      <c r="H57" s="14" t="s">
        <v>3</v>
      </c>
      <c r="I57" s="1"/>
    </row>
    <row r="58" spans="1:9" x14ac:dyDescent="0.25">
      <c r="A58" s="1"/>
      <c r="B58" s="133" t="s">
        <v>176</v>
      </c>
      <c r="C58" s="134"/>
      <c r="D58" s="134"/>
      <c r="E58" s="134"/>
      <c r="F58" s="135"/>
      <c r="G58" s="58">
        <f>(G57)*'Fane 13. Nøgletal'!C31</f>
        <v>225592.13467091986</v>
      </c>
      <c r="H58" s="14" t="s">
        <v>3</v>
      </c>
      <c r="I58" s="1"/>
    </row>
    <row r="59" spans="1:9" x14ac:dyDescent="0.25">
      <c r="A59" s="1"/>
      <c r="B59" s="67"/>
      <c r="C59" s="68"/>
      <c r="D59" s="68"/>
      <c r="E59" s="68"/>
      <c r="F59" s="68"/>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2.42578125" style="2" customWidth="1"/>
    <col min="2" max="5" width="9" style="2"/>
    <col min="6" max="6" width="26" style="2" customWidth="1"/>
    <col min="7" max="7" width="10.28515625" style="2" customWidth="1"/>
    <col min="8" max="8" width="2.85546875" style="2" bestFit="1" customWidth="1"/>
    <col min="9" max="9" width="2.42578125" style="2" customWidth="1"/>
    <col min="10" max="16384" width="9" style="2"/>
  </cols>
  <sheetData>
    <row r="1" spans="1:9" x14ac:dyDescent="0.25">
      <c r="A1" s="1"/>
      <c r="B1" s="140" t="s">
        <v>99</v>
      </c>
      <c r="C1" s="141"/>
      <c r="D1" s="141"/>
      <c r="E1" s="141"/>
      <c r="F1" s="141"/>
      <c r="G1" s="141"/>
      <c r="H1" s="141"/>
      <c r="I1" s="1"/>
    </row>
    <row r="2" spans="1:9" ht="19.899999999999999" customHeight="1" x14ac:dyDescent="0.25">
      <c r="A2" s="1"/>
      <c r="B2" s="141"/>
      <c r="C2" s="141"/>
      <c r="D2" s="141"/>
      <c r="E2" s="141"/>
      <c r="F2" s="141"/>
      <c r="G2" s="141"/>
      <c r="H2" s="141"/>
      <c r="I2" s="1"/>
    </row>
    <row r="3" spans="1:9" ht="15" customHeight="1" x14ac:dyDescent="0.25">
      <c r="A3" s="1"/>
      <c r="B3" s="142"/>
      <c r="C3" s="142"/>
      <c r="D3" s="142"/>
      <c r="E3" s="142"/>
      <c r="F3" s="142"/>
      <c r="G3" s="142"/>
      <c r="H3" s="142"/>
      <c r="I3" s="1"/>
    </row>
    <row r="4" spans="1:9" x14ac:dyDescent="0.25">
      <c r="A4" s="1"/>
      <c r="B4" s="130" t="s">
        <v>53</v>
      </c>
      <c r="C4" s="131"/>
      <c r="D4" s="131"/>
      <c r="E4" s="131"/>
      <c r="F4" s="131"/>
      <c r="G4" s="131"/>
      <c r="H4" s="132"/>
      <c r="I4" s="1"/>
    </row>
    <row r="5" spans="1:9" x14ac:dyDescent="0.25">
      <c r="A5" s="1"/>
      <c r="B5" s="133" t="s">
        <v>56</v>
      </c>
      <c r="C5" s="134"/>
      <c r="D5" s="134"/>
      <c r="E5" s="134"/>
      <c r="F5" s="135"/>
      <c r="G5" s="58">
        <v>16279713.022333013</v>
      </c>
      <c r="H5" s="14" t="s">
        <v>3</v>
      </c>
      <c r="I5" s="1"/>
    </row>
    <row r="6" spans="1:9" x14ac:dyDescent="0.25">
      <c r="A6" s="1"/>
      <c r="B6" s="133" t="s">
        <v>54</v>
      </c>
      <c r="C6" s="134"/>
      <c r="D6" s="134"/>
      <c r="E6" s="134"/>
      <c r="F6" s="135"/>
      <c r="G6" s="58">
        <f>G5*'Fane 13. Nøgletal'!C20</f>
        <v>148145.38850323044</v>
      </c>
      <c r="H6" s="14" t="s">
        <v>3</v>
      </c>
      <c r="I6" s="1"/>
    </row>
    <row r="7" spans="1:9" x14ac:dyDescent="0.25">
      <c r="A7" s="1"/>
      <c r="B7" s="67"/>
      <c r="C7" s="68"/>
      <c r="D7" s="68"/>
      <c r="E7" s="68"/>
      <c r="F7" s="68"/>
      <c r="G7" s="61"/>
      <c r="H7" s="19"/>
      <c r="I7" s="1"/>
    </row>
    <row r="8" spans="1:9" x14ac:dyDescent="0.25">
      <c r="A8" s="1"/>
      <c r="B8" s="1"/>
      <c r="C8" s="1"/>
      <c r="D8" s="1"/>
      <c r="E8" s="1"/>
      <c r="F8" s="1"/>
      <c r="G8" s="62"/>
      <c r="H8" s="1"/>
      <c r="I8" s="1"/>
    </row>
    <row r="9" spans="1:9" x14ac:dyDescent="0.25">
      <c r="A9" s="1"/>
      <c r="B9" s="130" t="s">
        <v>57</v>
      </c>
      <c r="C9" s="131"/>
      <c r="D9" s="131"/>
      <c r="E9" s="131"/>
      <c r="F9" s="131"/>
      <c r="G9" s="136"/>
      <c r="H9" s="132"/>
      <c r="I9" s="1"/>
    </row>
    <row r="10" spans="1:9" x14ac:dyDescent="0.25">
      <c r="A10" s="1"/>
      <c r="B10" s="133" t="s">
        <v>58</v>
      </c>
      <c r="C10" s="134"/>
      <c r="D10" s="134"/>
      <c r="E10" s="134"/>
      <c r="F10" s="135"/>
      <c r="G10" s="58">
        <f>(G5-G6)*(1+'Fane 13. Nøgletal'!C9)</f>
        <v>16336438.54277942</v>
      </c>
      <c r="H10" s="14" t="s">
        <v>3</v>
      </c>
      <c r="I10" s="1"/>
    </row>
    <row r="11" spans="1:9" x14ac:dyDescent="0.25">
      <c r="A11" s="1"/>
      <c r="B11" s="137" t="s">
        <v>59</v>
      </c>
      <c r="C11" s="138"/>
      <c r="D11" s="138"/>
      <c r="E11" s="138"/>
      <c r="F11" s="139"/>
      <c r="G11" s="63">
        <v>183689.21140625002</v>
      </c>
      <c r="H11" s="14" t="s">
        <v>3</v>
      </c>
      <c r="I11" s="1"/>
    </row>
    <row r="12" spans="1:9" x14ac:dyDescent="0.25">
      <c r="A12" s="1"/>
      <c r="B12" s="133" t="s">
        <v>60</v>
      </c>
      <c r="C12" s="134"/>
      <c r="D12" s="134"/>
      <c r="E12" s="134"/>
      <c r="F12" s="135"/>
      <c r="G12" s="58">
        <f>G10*'Fane 13. Nøgletal'!C20+G11*'Fane 13. Nøgletal'!C21</f>
        <v>151912.88978118336</v>
      </c>
      <c r="H12" s="14" t="s">
        <v>3</v>
      </c>
      <c r="I12" s="1"/>
    </row>
    <row r="13" spans="1:9" x14ac:dyDescent="0.25">
      <c r="A13" s="1"/>
      <c r="B13" s="67"/>
      <c r="C13" s="68"/>
      <c r="D13" s="68"/>
      <c r="E13" s="68"/>
      <c r="F13" s="68"/>
      <c r="G13" s="61"/>
      <c r="H13" s="19"/>
      <c r="I13" s="1"/>
    </row>
    <row r="14" spans="1:9" x14ac:dyDescent="0.25">
      <c r="A14" s="1"/>
      <c r="B14" s="1"/>
      <c r="C14" s="1"/>
      <c r="D14" s="1"/>
      <c r="E14" s="1"/>
      <c r="F14" s="1"/>
      <c r="G14" s="62"/>
      <c r="H14" s="1"/>
      <c r="I14" s="1"/>
    </row>
    <row r="15" spans="1:9" x14ac:dyDescent="0.25">
      <c r="A15" s="1"/>
      <c r="B15" s="130" t="s">
        <v>61</v>
      </c>
      <c r="C15" s="131"/>
      <c r="D15" s="131"/>
      <c r="E15" s="131"/>
      <c r="F15" s="131"/>
      <c r="G15" s="136"/>
      <c r="H15" s="132"/>
      <c r="I15" s="1"/>
    </row>
    <row r="16" spans="1:9" x14ac:dyDescent="0.25">
      <c r="A16" s="1"/>
      <c r="B16" s="133" t="s">
        <v>62</v>
      </c>
      <c r="C16" s="134"/>
      <c r="D16" s="134"/>
      <c r="E16" s="134"/>
      <c r="F16" s="135"/>
      <c r="G16" s="58">
        <f>(G10+G11-G12)*(1+'Fane 13. Nøgletal'!C11)</f>
        <v>16644837.69561292</v>
      </c>
      <c r="H16" s="14" t="s">
        <v>3</v>
      </c>
      <c r="I16" s="1"/>
    </row>
    <row r="17" spans="1:9" x14ac:dyDescent="0.25">
      <c r="A17" s="1"/>
      <c r="B17" s="133" t="s">
        <v>109</v>
      </c>
      <c r="C17" s="134"/>
      <c r="D17" s="134"/>
      <c r="E17" s="134"/>
      <c r="F17" s="135"/>
      <c r="G17" s="58">
        <v>124793.44138983981</v>
      </c>
      <c r="H17" s="14" t="s">
        <v>3</v>
      </c>
      <c r="I17" s="1"/>
    </row>
    <row r="18" spans="1:9" x14ac:dyDescent="0.25">
      <c r="A18" s="1"/>
      <c r="B18" s="137" t="s">
        <v>63</v>
      </c>
      <c r="C18" s="138"/>
      <c r="D18" s="138"/>
      <c r="E18" s="138"/>
      <c r="F18" s="139"/>
      <c r="G18" s="58">
        <v>0</v>
      </c>
      <c r="H18" s="14" t="s">
        <v>3</v>
      </c>
      <c r="I18" s="1"/>
    </row>
    <row r="19" spans="1:9" x14ac:dyDescent="0.25">
      <c r="A19" s="1"/>
      <c r="B19" s="133" t="s">
        <v>64</v>
      </c>
      <c r="C19" s="134"/>
      <c r="D19" s="134"/>
      <c r="E19" s="134"/>
      <c r="F19" s="135"/>
      <c r="G19" s="58">
        <f>(G16+G17+G18)*'Fane 13. Nøgletal'!C22</f>
        <v>145895.790891924</v>
      </c>
      <c r="H19" s="14" t="s">
        <v>3</v>
      </c>
      <c r="I19" s="1"/>
    </row>
    <row r="20" spans="1:9" x14ac:dyDescent="0.25">
      <c r="A20" s="1"/>
      <c r="B20" s="67"/>
      <c r="C20" s="68"/>
      <c r="D20" s="68"/>
      <c r="E20" s="68"/>
      <c r="F20" s="68"/>
      <c r="G20" s="61"/>
      <c r="H20" s="19"/>
      <c r="I20" s="1"/>
    </row>
    <row r="21" spans="1:9" x14ac:dyDescent="0.25">
      <c r="A21" s="1"/>
      <c r="B21" s="1"/>
      <c r="C21" s="1"/>
      <c r="D21" s="1"/>
      <c r="E21" s="1"/>
      <c r="F21" s="1"/>
      <c r="G21" s="62"/>
      <c r="H21" s="1"/>
      <c r="I21" s="1"/>
    </row>
    <row r="22" spans="1:9" x14ac:dyDescent="0.25">
      <c r="A22" s="1"/>
      <c r="B22" s="130" t="s">
        <v>65</v>
      </c>
      <c r="C22" s="131"/>
      <c r="D22" s="131"/>
      <c r="E22" s="131"/>
      <c r="F22" s="131"/>
      <c r="G22" s="136"/>
      <c r="H22" s="132"/>
      <c r="I22" s="1"/>
    </row>
    <row r="23" spans="1:9" x14ac:dyDescent="0.25">
      <c r="A23" s="1"/>
      <c r="B23" s="133" t="s">
        <v>66</v>
      </c>
      <c r="C23" s="134"/>
      <c r="D23" s="134"/>
      <c r="E23" s="134"/>
      <c r="F23" s="135"/>
      <c r="G23" s="58">
        <f>(SUM(G16:G18)-G19)*(1+'Fane 13. Nøgletal'!C11)</f>
        <v>16904676.473460108</v>
      </c>
      <c r="H23" s="14" t="s">
        <v>3</v>
      </c>
      <c r="I23" s="1"/>
    </row>
    <row r="24" spans="1:9" x14ac:dyDescent="0.25">
      <c r="A24" s="1"/>
      <c r="B24" s="137" t="s">
        <v>67</v>
      </c>
      <c r="C24" s="138"/>
      <c r="D24" s="138"/>
      <c r="E24" s="138"/>
      <c r="F24" s="139"/>
      <c r="G24" s="58">
        <v>0</v>
      </c>
      <c r="H24" s="14" t="s">
        <v>3</v>
      </c>
      <c r="I24" s="1"/>
    </row>
    <row r="25" spans="1:9" x14ac:dyDescent="0.25">
      <c r="A25" s="1"/>
      <c r="B25" s="133" t="s">
        <v>68</v>
      </c>
      <c r="C25" s="134"/>
      <c r="D25" s="134"/>
      <c r="E25" s="134"/>
      <c r="F25" s="135"/>
      <c r="G25" s="58">
        <f>G23*'Fane 13. Nøgletal'!C22+G24*'Fane 13. Nøgletal'!C23</f>
        <v>147070.68531910292</v>
      </c>
      <c r="H25" s="14" t="s">
        <v>3</v>
      </c>
      <c r="I25" s="1"/>
    </row>
    <row r="26" spans="1:9" x14ac:dyDescent="0.25">
      <c r="A26" s="1"/>
      <c r="B26" s="67"/>
      <c r="C26" s="68"/>
      <c r="D26" s="68"/>
      <c r="E26" s="68"/>
      <c r="F26" s="68"/>
      <c r="G26" s="61"/>
      <c r="H26" s="19"/>
      <c r="I26" s="1"/>
    </row>
    <row r="27" spans="1:9" x14ac:dyDescent="0.25">
      <c r="A27" s="1"/>
      <c r="B27" s="1"/>
      <c r="C27" s="1"/>
      <c r="D27" s="1"/>
      <c r="E27" s="1"/>
      <c r="F27" s="1"/>
      <c r="G27" s="62"/>
      <c r="H27" s="1"/>
      <c r="I27" s="1"/>
    </row>
    <row r="28" spans="1:9" x14ac:dyDescent="0.25">
      <c r="A28" s="1"/>
      <c r="B28" s="130" t="s">
        <v>130</v>
      </c>
      <c r="C28" s="131"/>
      <c r="D28" s="131"/>
      <c r="E28" s="131"/>
      <c r="F28" s="131"/>
      <c r="G28" s="136"/>
      <c r="H28" s="132"/>
      <c r="I28" s="1"/>
    </row>
    <row r="29" spans="1:9" x14ac:dyDescent="0.25">
      <c r="A29" s="1"/>
      <c r="B29" s="133" t="s">
        <v>69</v>
      </c>
      <c r="C29" s="134"/>
      <c r="D29" s="134"/>
      <c r="E29" s="134"/>
      <c r="F29" s="135"/>
      <c r="G29" s="58">
        <f>(G23+G24-G25)*(1+'Fane 13. Nøgletal'!C13)</f>
        <v>16962048.578756325</v>
      </c>
      <c r="H29" s="14" t="s">
        <v>3</v>
      </c>
      <c r="I29" s="1"/>
    </row>
    <row r="30" spans="1:9" x14ac:dyDescent="0.25">
      <c r="A30" s="1"/>
      <c r="B30" s="133" t="s">
        <v>123</v>
      </c>
      <c r="C30" s="134"/>
      <c r="D30" s="134"/>
      <c r="E30" s="134"/>
      <c r="F30" s="135"/>
      <c r="G30" s="58">
        <v>0</v>
      </c>
      <c r="H30" s="14" t="s">
        <v>3</v>
      </c>
      <c r="I30" s="1"/>
    </row>
    <row r="31" spans="1:9" x14ac:dyDescent="0.25">
      <c r="A31" s="1"/>
      <c r="B31" s="133" t="s">
        <v>131</v>
      </c>
      <c r="C31" s="134"/>
      <c r="D31" s="134"/>
      <c r="E31" s="134"/>
      <c r="F31" s="135"/>
      <c r="G31" s="58">
        <f>(G29+G30)*'Fane 13. Nøgletal'!C24</f>
        <v>466456.33591579896</v>
      </c>
      <c r="H31" s="14" t="s">
        <v>3</v>
      </c>
      <c r="I31" s="1"/>
    </row>
    <row r="32" spans="1:9" x14ac:dyDescent="0.25">
      <c r="A32" s="1"/>
      <c r="B32" s="67"/>
      <c r="C32" s="68"/>
      <c r="D32" s="68"/>
      <c r="E32" s="68"/>
      <c r="F32" s="68"/>
      <c r="G32" s="61"/>
      <c r="H32" s="19"/>
      <c r="I32" s="1"/>
    </row>
    <row r="33" spans="1:9" x14ac:dyDescent="0.25">
      <c r="A33" s="1"/>
      <c r="B33" s="1"/>
      <c r="C33" s="1"/>
      <c r="D33" s="1"/>
      <c r="E33" s="1"/>
      <c r="F33" s="1"/>
      <c r="G33" s="62"/>
      <c r="H33" s="1"/>
      <c r="I33" s="1"/>
    </row>
    <row r="34" spans="1:9" x14ac:dyDescent="0.25">
      <c r="A34" s="1"/>
      <c r="B34" s="130" t="s">
        <v>135</v>
      </c>
      <c r="C34" s="131"/>
      <c r="D34" s="131"/>
      <c r="E34" s="131"/>
      <c r="F34" s="131"/>
      <c r="G34" s="136"/>
      <c r="H34" s="132"/>
      <c r="I34" s="1"/>
    </row>
    <row r="35" spans="1:9" x14ac:dyDescent="0.25">
      <c r="A35" s="1"/>
      <c r="B35" s="133" t="s">
        <v>72</v>
      </c>
      <c r="C35" s="134"/>
      <c r="D35" s="134"/>
      <c r="E35" s="134"/>
      <c r="F35" s="135"/>
      <c r="G35" s="58">
        <f>(G29+G30-G31)*(1+'Fane 13. Nøgletal'!C13)</f>
        <v>16696838.468203181</v>
      </c>
      <c r="H35" s="14" t="s">
        <v>3</v>
      </c>
      <c r="I35" s="1"/>
    </row>
    <row r="36" spans="1:9" x14ac:dyDescent="0.25">
      <c r="A36" s="1"/>
      <c r="B36" s="133" t="s">
        <v>141</v>
      </c>
      <c r="C36" s="134"/>
      <c r="D36" s="134"/>
      <c r="E36" s="134"/>
      <c r="F36" s="135"/>
      <c r="G36" s="58">
        <f>SUM('Fane 3. Omkostninger i ØR2022'!E11)*(1+'Fane 13. Nøgletal'!C14)</f>
        <v>0</v>
      </c>
      <c r="H36" s="14" t="s">
        <v>3</v>
      </c>
      <c r="I36" s="1"/>
    </row>
    <row r="37" spans="1:9" x14ac:dyDescent="0.25">
      <c r="A37" s="1"/>
      <c r="B37" s="133" t="s">
        <v>136</v>
      </c>
      <c r="C37" s="134"/>
      <c r="D37" s="134"/>
      <c r="E37" s="134"/>
      <c r="F37" s="135"/>
      <c r="G37" s="58">
        <f>G35*'Fane 13. Nøgletal'!C24+G36*'Fane 13. Nøgletal'!C25</f>
        <v>459163.05787558749</v>
      </c>
      <c r="H37" s="14" t="s">
        <v>3</v>
      </c>
      <c r="I37" s="1"/>
    </row>
    <row r="38" spans="1:9" x14ac:dyDescent="0.25">
      <c r="A38" s="1"/>
      <c r="B38" s="67"/>
      <c r="C38" s="68"/>
      <c r="D38" s="68"/>
      <c r="E38" s="68"/>
      <c r="F38" s="68"/>
      <c r="G38" s="61"/>
      <c r="H38" s="19"/>
      <c r="I38" s="1"/>
    </row>
    <row r="39" spans="1:9" x14ac:dyDescent="0.25">
      <c r="A39" s="1"/>
      <c r="B39" s="1"/>
      <c r="C39" s="1"/>
      <c r="D39" s="1"/>
      <c r="E39" s="1"/>
      <c r="F39" s="1"/>
      <c r="G39" s="62"/>
      <c r="H39" s="1"/>
      <c r="I39" s="1"/>
    </row>
    <row r="40" spans="1:9" x14ac:dyDescent="0.25">
      <c r="A40" s="1"/>
      <c r="B40" s="130" t="s">
        <v>200</v>
      </c>
      <c r="C40" s="131"/>
      <c r="D40" s="131"/>
      <c r="E40" s="131"/>
      <c r="F40" s="131"/>
      <c r="G40" s="136"/>
      <c r="H40" s="132"/>
      <c r="I40" s="1"/>
    </row>
    <row r="41" spans="1:9" x14ac:dyDescent="0.25">
      <c r="A41" s="1"/>
      <c r="B41" s="133" t="s">
        <v>71</v>
      </c>
      <c r="C41" s="134"/>
      <c r="D41" s="134"/>
      <c r="E41" s="134"/>
      <c r="F41" s="135"/>
      <c r="G41" s="58">
        <f>(G35+G36-G37)*(1+'Fane 13. Nøgletal'!C15)</f>
        <v>16815736.654935259</v>
      </c>
      <c r="H41" s="14" t="s">
        <v>3</v>
      </c>
      <c r="I41" s="1"/>
    </row>
    <row r="42" spans="1:9" x14ac:dyDescent="0.25">
      <c r="A42" s="1"/>
      <c r="B42" s="133" t="s">
        <v>211</v>
      </c>
      <c r="C42" s="134"/>
      <c r="D42" s="134"/>
      <c r="E42" s="134"/>
      <c r="F42" s="135"/>
      <c r="G42" s="63">
        <f>SUM('Fane 2.1. Økonomisk ramme 2023'!C10+'Fane 2.1. Økonomisk ramme 2023'!C12+'Fane 2.1. Økonomisk ramme 2023'!C14)*(1+'Fane 13. Nøgletal'!C15)</f>
        <v>47335.491868320009</v>
      </c>
      <c r="H42" s="14" t="s">
        <v>3</v>
      </c>
      <c r="I42" s="1"/>
    </row>
    <row r="43" spans="1:9" x14ac:dyDescent="0.25">
      <c r="A43" s="1"/>
      <c r="B43" s="133" t="s">
        <v>70</v>
      </c>
      <c r="C43" s="134"/>
      <c r="D43" s="134"/>
      <c r="E43" s="134"/>
      <c r="F43" s="135"/>
      <c r="G43" s="58">
        <f>(G41+G42)*'Fane 13. Nøgletal'!C26</f>
        <v>0</v>
      </c>
      <c r="H43" s="14" t="s">
        <v>3</v>
      </c>
      <c r="I43" s="1"/>
    </row>
    <row r="44" spans="1:9" x14ac:dyDescent="0.25">
      <c r="A44" s="1"/>
      <c r="B44" s="67"/>
      <c r="C44" s="68"/>
      <c r="D44" s="68"/>
      <c r="E44" s="68"/>
      <c r="F44" s="68"/>
      <c r="G44" s="61"/>
      <c r="H44" s="19"/>
      <c r="I44" s="1"/>
    </row>
    <row r="45" spans="1:9" ht="12" customHeight="1" x14ac:dyDescent="0.25">
      <c r="A45" s="1"/>
      <c r="B45" s="1"/>
      <c r="C45" s="1"/>
      <c r="D45" s="1"/>
      <c r="E45" s="1"/>
      <c r="F45" s="1"/>
      <c r="G45" s="62"/>
      <c r="H45" s="1"/>
      <c r="I45" s="1"/>
    </row>
    <row r="46" spans="1:9" x14ac:dyDescent="0.25">
      <c r="A46" s="1"/>
      <c r="B46" s="130" t="s">
        <v>201</v>
      </c>
      <c r="C46" s="131"/>
      <c r="D46" s="131"/>
      <c r="E46" s="131"/>
      <c r="F46" s="131"/>
      <c r="G46" s="136"/>
      <c r="H46" s="132"/>
      <c r="I46" s="1"/>
    </row>
    <row r="47" spans="1:9" x14ac:dyDescent="0.25">
      <c r="A47" s="1"/>
      <c r="B47" s="133" t="s">
        <v>124</v>
      </c>
      <c r="C47" s="134"/>
      <c r="D47" s="134"/>
      <c r="E47" s="134"/>
      <c r="F47" s="135"/>
      <c r="G47" s="58">
        <f>(G41+G42-G43)*(1+'Fane 13. Nøgletal'!C15)</f>
        <v>17463397.515229788</v>
      </c>
      <c r="H47" s="14" t="s">
        <v>3</v>
      </c>
      <c r="I47" s="1"/>
    </row>
    <row r="48" spans="1:9" x14ac:dyDescent="0.25">
      <c r="A48" s="1"/>
      <c r="B48" s="133" t="s">
        <v>125</v>
      </c>
      <c r="C48" s="134"/>
      <c r="D48" s="134"/>
      <c r="E48" s="134"/>
      <c r="F48" s="135"/>
      <c r="G48" s="58">
        <f>(G47)*'Fane 13. Nøgletal'!C26</f>
        <v>0</v>
      </c>
      <c r="H48" s="14" t="s">
        <v>3</v>
      </c>
      <c r="I48" s="1"/>
    </row>
    <row r="49" spans="1:9" x14ac:dyDescent="0.25">
      <c r="A49" s="1"/>
      <c r="B49" s="67"/>
      <c r="C49" s="68"/>
      <c r="D49" s="68"/>
      <c r="E49" s="68"/>
      <c r="F49" s="68"/>
      <c r="G49" s="61"/>
      <c r="H49" s="19"/>
      <c r="I49" s="1"/>
    </row>
    <row r="50" spans="1:9" x14ac:dyDescent="0.25">
      <c r="A50" s="1"/>
      <c r="B50" s="1"/>
      <c r="C50" s="1"/>
      <c r="D50" s="1"/>
      <c r="E50" s="1"/>
      <c r="F50" s="1"/>
      <c r="G50" s="62"/>
      <c r="H50" s="1"/>
      <c r="I50" s="1"/>
    </row>
    <row r="51" spans="1:9" x14ac:dyDescent="0.25">
      <c r="A51" s="1"/>
      <c r="B51" s="130" t="s">
        <v>142</v>
      </c>
      <c r="C51" s="131"/>
      <c r="D51" s="131"/>
      <c r="E51" s="131"/>
      <c r="F51" s="131"/>
      <c r="G51" s="136"/>
      <c r="H51" s="132"/>
      <c r="I51" s="1"/>
    </row>
    <row r="52" spans="1:9" x14ac:dyDescent="0.25">
      <c r="A52" s="1"/>
      <c r="B52" s="133" t="s">
        <v>143</v>
      </c>
      <c r="C52" s="134"/>
      <c r="D52" s="134"/>
      <c r="E52" s="134"/>
      <c r="F52" s="135"/>
      <c r="G52" s="58">
        <f>(G47-G48)*(1+'Fane 13. Nøgletal'!C15)</f>
        <v>18085094.466771968</v>
      </c>
      <c r="H52" s="14" t="s">
        <v>3</v>
      </c>
      <c r="I52" s="1"/>
    </row>
    <row r="53" spans="1:9" x14ac:dyDescent="0.25">
      <c r="A53" s="1"/>
      <c r="B53" s="133" t="s">
        <v>144</v>
      </c>
      <c r="C53" s="134"/>
      <c r="D53" s="134"/>
      <c r="E53" s="134"/>
      <c r="F53" s="135"/>
      <c r="G53" s="58">
        <f>(G52)*'Fane 13. Nøgletal'!C26</f>
        <v>0</v>
      </c>
      <c r="H53" s="14" t="s">
        <v>3</v>
      </c>
      <c r="I53" s="1"/>
    </row>
    <row r="54" spans="1:9" x14ac:dyDescent="0.25">
      <c r="A54" s="1"/>
      <c r="B54" s="67"/>
      <c r="C54" s="68"/>
      <c r="D54" s="68"/>
      <c r="E54" s="68"/>
      <c r="F54" s="68"/>
      <c r="G54" s="61"/>
      <c r="H54" s="19"/>
      <c r="I54" s="1"/>
    </row>
    <row r="55" spans="1:9" x14ac:dyDescent="0.25">
      <c r="A55" s="1"/>
      <c r="B55" s="1"/>
      <c r="C55" s="1"/>
      <c r="D55" s="1"/>
      <c r="E55" s="1"/>
      <c r="F55" s="1"/>
      <c r="G55" s="62"/>
      <c r="H55" s="1"/>
      <c r="I55" s="1"/>
    </row>
    <row r="56" spans="1:9" x14ac:dyDescent="0.25">
      <c r="A56" s="1"/>
      <c r="B56" s="130" t="s">
        <v>177</v>
      </c>
      <c r="C56" s="131"/>
      <c r="D56" s="131"/>
      <c r="E56" s="131"/>
      <c r="F56" s="131"/>
      <c r="G56" s="136"/>
      <c r="H56" s="132"/>
      <c r="I56" s="1"/>
    </row>
    <row r="57" spans="1:9" x14ac:dyDescent="0.25">
      <c r="A57" s="1"/>
      <c r="B57" s="133" t="s">
        <v>178</v>
      </c>
      <c r="C57" s="134"/>
      <c r="D57" s="134"/>
      <c r="E57" s="134"/>
      <c r="F57" s="135"/>
      <c r="G57" s="58">
        <f>(G52-G53)*(1+'Fane 13. Nøgletal'!C15)</f>
        <v>18728923.82978905</v>
      </c>
      <c r="H57" s="14" t="s">
        <v>3</v>
      </c>
      <c r="I57" s="1"/>
    </row>
    <row r="58" spans="1:9" x14ac:dyDescent="0.25">
      <c r="A58" s="1"/>
      <c r="B58" s="133" t="s">
        <v>179</v>
      </c>
      <c r="C58" s="134"/>
      <c r="D58" s="134"/>
      <c r="E58" s="134"/>
      <c r="F58" s="135"/>
      <c r="G58" s="58">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topLeftCell="A37" zoomScaleNormal="100" workbookViewId="0">
      <selection activeCell="D18" sqref="D18"/>
    </sheetView>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7" t="s">
        <v>82</v>
      </c>
      <c r="C3" s="107"/>
      <c r="D3" s="107"/>
      <c r="E3" s="107"/>
      <c r="F3" s="107"/>
      <c r="G3" s="107"/>
      <c r="H3" s="1"/>
    </row>
    <row r="4" spans="1:8" ht="15" customHeight="1" x14ac:dyDescent="0.25">
      <c r="A4" s="1"/>
      <c r="B4" s="107"/>
      <c r="C4" s="107"/>
      <c r="D4" s="107"/>
      <c r="E4" s="107"/>
      <c r="F4" s="107"/>
      <c r="G4" s="10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0" t="s">
        <v>9</v>
      </c>
      <c r="C8" s="131"/>
      <c r="D8" s="131"/>
      <c r="E8" s="131"/>
      <c r="F8" s="131"/>
      <c r="G8" s="132"/>
      <c r="H8" s="1"/>
    </row>
    <row r="9" spans="1:8" x14ac:dyDescent="0.25">
      <c r="A9" s="1"/>
      <c r="B9" s="84" t="s">
        <v>180</v>
      </c>
      <c r="C9" s="85"/>
      <c r="D9" s="85"/>
      <c r="E9" s="85"/>
      <c r="F9" s="86"/>
      <c r="G9" s="28">
        <v>1.194878242766634E-2</v>
      </c>
      <c r="H9" s="1"/>
    </row>
    <row r="10" spans="1:8" x14ac:dyDescent="0.25">
      <c r="A10" s="1"/>
      <c r="B10" s="82"/>
      <c r="C10" s="83"/>
      <c r="D10" s="83"/>
      <c r="E10" s="83"/>
      <c r="F10" s="83"/>
      <c r="G10" s="19"/>
      <c r="H10" s="1"/>
    </row>
    <row r="11" spans="1:8" x14ac:dyDescent="0.25">
      <c r="A11" s="1"/>
      <c r="B11" s="1"/>
      <c r="C11" s="1"/>
      <c r="D11" s="1"/>
      <c r="E11" s="1"/>
      <c r="F11" s="1"/>
      <c r="G11" s="1"/>
      <c r="H11" s="1"/>
    </row>
    <row r="12" spans="1:8" ht="31.5" customHeight="1" x14ac:dyDescent="0.25">
      <c r="A12" s="1"/>
      <c r="B12" s="143" t="s">
        <v>202</v>
      </c>
      <c r="C12" s="143"/>
      <c r="D12" s="143"/>
      <c r="E12" s="143"/>
      <c r="F12" s="143"/>
      <c r="G12" s="143"/>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bg6O3YEaBjuxgWPFlJ06vEm/0f3em9uB/NG5QX90rAvmLXFxQ5SfUlicOGZKtaFwuy38JN68lRnbDSnn18zs6w==" saltValue="f6BWLkxvrplwxbq0piBE0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2022-12-01T09:13:38Z</dcterms:modified>
</cp:coreProperties>
</file>