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Vejen Vand (V205)\ØR2024\"/>
    </mc:Choice>
  </mc:AlternateContent>
  <xr:revisionPtr revIDLastSave="0" documentId="13_ncr:1_{325CE379-23B6-44BA-9797-FDBCFA984EB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3" l="1"/>
  <c r="E27" i="43" s="1"/>
  <c r="C29" i="2" l="1"/>
  <c r="E31" i="43"/>
  <c r="E33" i="43" s="1"/>
  <c r="C17" i="15" l="1"/>
  <c r="C17" i="22"/>
  <c r="C8" i="2"/>
  <c r="C13" i="29" l="1"/>
  <c r="C14" i="29" s="1"/>
  <c r="E15" i="39" l="1"/>
  <c r="C15" i="39"/>
  <c r="C31" i="2" l="1"/>
  <c r="E16" i="39" l="1"/>
  <c r="C16" i="39"/>
  <c r="J11" i="11"/>
  <c r="H11" i="11"/>
  <c r="F10" i="11" l="1"/>
  <c r="F11" i="11" s="1"/>
  <c r="C19" i="23" l="1"/>
  <c r="C19" i="22"/>
  <c r="C19" i="15"/>
  <c r="G18" i="40"/>
  <c r="E13" i="29" l="1"/>
  <c r="C19" i="19"/>
  <c r="C20" i="19" s="1"/>
  <c r="C15" i="23" l="1"/>
  <c r="C15" i="15"/>
  <c r="C15" i="22"/>
  <c r="E14" i="29"/>
  <c r="C14" i="2" s="1"/>
  <c r="E10" i="37"/>
  <c r="E18" i="37" s="1"/>
  <c r="E19" i="37" s="1"/>
  <c r="C10" i="37"/>
  <c r="C18" i="37" s="1"/>
  <c r="C19"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<sst xmlns="http://schemas.openxmlformats.org/spreadsheetml/2006/main" count="563" uniqueCount="271">
  <si>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</si>
  <si>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</si>
  <si>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</si>
  <si>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</si>
  <si>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</si>
  <si>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</si>
  <si>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</si>
  <si>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</si>
  <si>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</si>
  <si>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</si>
  <si>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</si>
  <si>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</si>
  <si>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</si>
  <si>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</si>
  <si>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</si>
  <si>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</si>
  <si>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</si>
  <si>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</si>
  <si>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</si>
  <si>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</si>
  <si>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</si>
  <si>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</si>
  <si>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</si>
  <si>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</si>
  <si>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</si>
  <si>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</si>
  <si>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</si>
  <si>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</si>
  <si>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</si>
  <si>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</si>
  <si>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</si>
  <si>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</si>
  <si>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</si>
  <si>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</si>
  <si>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</si>
  <si>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</si>
  <si>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</si>
  <si>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</si>
  <si>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</si>
  <si>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</si>
  <si>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</si>
  <si>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</si>
  <si>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</si>
  <si>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</si>
  <si>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</si>
  <si>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</si>
  <si>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</si>
  <si>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</si>
  <si>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</si>
  <si>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</si>
  <si>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</si>
  <si>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</si>
  <si>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</si>
  <si>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</si>
  <si>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</si>
  <si>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</si>
  <si>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</si>
  <si>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</si>
  <si>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</si>
  <si>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</si>
  <si>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</si>
  <si>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</si>
  <si>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</si>
  <si>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</si>
  <si>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</si>
  <si>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</si>
  <si>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</si>
  <si>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</si>
  <si>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</si>
  <si>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</si>
  <si>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</si>
  <si>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</si>
  <si>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</si>
  <si>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</si>
  <si>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</si>
  <si>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</si>
  <si>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</si>
  <si>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</si>
  <si>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</si>
  <si>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</si>
  <si>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</si>
  <si>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</si>
  <si>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</si>
  <si>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</si>
  <si>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</si>
  <si>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</si>
  <si>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</si>
  <si>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</si>
  <si>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</si>
  <si>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</si>
  <si>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</si>
  <si>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</si>
  <si>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</si>
  <si>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</si>
  <si>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</si>
  <si>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</si>
  <si>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</si>
  <si>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</si>
  <si>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</si>
  <si>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</si>
  <si>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</si>
  <si>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</si>
  <si>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</si>
  <si>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</si>
  <si>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</si>
  <si>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</si>
  <si>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</si>
  <si>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</si>
  <si>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</si>
  <si>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</si>
  <si>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</si>
  <si>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</si>
  <si>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</si>
  <si>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</si>
  <si>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</si>
  <si>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</si>
  <si>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</si>
  <si>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</si>
  <si>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</si>
  <si>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</si>
  <si>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</si>
  <si>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</si>
  <si>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</si>
  <si>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</si>
  <si>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</si>
  <si>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</si>
  <si>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</si>
  <si>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</si>
  <si>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</si>
  <si>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</si>
  <si>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</si>
  <si>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</si>
  <si>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</si>
  <si>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</si>
  <si>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</si>
  <si>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</si>
  <si>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</si>
  <si>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</si>
  <si>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</si>
  <si>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</si>
  <si>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</si>
  <si>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</si>
  <si>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</si>
  <si>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</si>
  <si>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</si>
  <si>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</si>
  <si>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</si>
  <si>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</si>
  <si>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</si>
  <si>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</si>
  <si>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</si>
  <si>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</si>
  <si>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</si>
  <si>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</si>
  <si>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</si>
  <si>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</si>
  <si>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</si>
  <si>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</si>
  <si>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</si>
  <si>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</si>
  <si>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</si>
  <si>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</si>
  <si>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</si>
  <si>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</si>
  <si>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</si>
  <si>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</si>
  <si>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</si>
  <si>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</si>
  <si>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</si>
  <si>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</si>
  <si>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</si>
  <si>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</si>
  <si>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</si>
  <si>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</si>
  <si>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</si>
  <si>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</si>
  <si>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</si>
  <si>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</si>
  <si>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</si>
  <si>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</si>
  <si>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</si>
  <si>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</si>
  <si>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</si>
  <si>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</si>
  <si>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</si>
  <si>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</si>
  <si>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</si>
  <si>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</si>
  <si>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</si>
  <si>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</si>
  <si>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</si>
  <si>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</si>
  <si>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</si>
  <si>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</si>
  <si>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</si>
  <si>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</si>
  <si>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</si>
  <si>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</si>
  <si>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</si>
  <si>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</si>
  <si>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</si>
  <si>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</si>
  <si>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</si>
  <si>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</si>
  <si>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</si>
  <si>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</si>
  <si>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</si>
  <si>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</si>
  <si>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</si>
  <si>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</si>
  <si>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</si>
  <si>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</si>
  <si>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</si>
  <si>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</si>
  <si>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</si>
  <si>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</si>
  <si>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</si>
  <si>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</si>
  <si>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</si>
  <si>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</si>
  <si>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</si>
  <si>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</si>
  <si>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</si>
  <si>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</si>
  <si>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</si>
  <si>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</si>
  <si>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</si>
  <si>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</si>
  <si>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</si>
  <si>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</si>
  <si>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</si>
  <si>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</si>
  <si>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</si>
  <si>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</si>
  <si>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</si>
  <si>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</si>
  <si>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</si>
  <si>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</si>
  <si>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</si>
  <si>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</si>
  <si>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</si>
  <si>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</si>
  <si>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</si>
  <si>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</si>
  <si>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</si>
  <si>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</si>
  <si>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</si>
  <si>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Erstatninger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</si>
  <si>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</si>
  <si>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</si>
  <si>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</si>
  <si>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</si>
  <si>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</si>
  <si>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</si>
  <si>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</si>
  <si>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</si>
  <si>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</si>
  <si>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</si>
  <si>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</si>
  <si>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</si>
  <si>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</si>
  <si>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Byggemodning</t>
  </si>
  <si>
    <t>Udvidelse Erhvervskunde</t>
  </si>
  <si>
    <t>Fjernelse af aggressiv CO2 i råvandet</t>
  </si>
  <si>
    <t>Færdiggørelse af ny boring</t>
  </si>
  <si>
    <t>Nye tilslutninger</t>
  </si>
  <si>
    <t>Fjernelse af aggresiv CO2 i råvandet</t>
  </si>
  <si>
    <t xml:space="preserve">Skoletjeneste </t>
  </si>
  <si>
    <t>Afklaring og fjernelse af mangan</t>
  </si>
  <si>
    <t xml:space="preserve">Afklaring og fjernelse af mangan </t>
  </si>
  <si>
    <t xml:space="preserve">kr.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</si>
</sst>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4" borderId="1" xfId="1" applyNumberFormat="1" applyFont="1" applyFill="1" applyBorder="1" applyProtection="1"/>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235</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162</v>
      </c>
      <c r="E13" s="81"/>
      <c r="F13" s="81"/>
      <c r="G13" s="82"/>
      <c r="H13" s="1"/>
      <c r="I13" s="1"/>
    </row>
    <row r="14" spans="1:9" x14ac:dyDescent="0.25">
      <c r="A14" s="1"/>
      <c r="B14" s="1"/>
      <c r="C14" s="6" t="s">
        <v>14</v>
      </c>
      <c r="D14" s="80" t="s">
        <v>197</v>
      </c>
      <c r="E14" s="81"/>
      <c r="F14" s="81"/>
      <c r="G14" s="82"/>
      <c r="H14" s="1"/>
      <c r="I14" s="1"/>
    </row>
    <row r="15" spans="1:9" x14ac:dyDescent="0.25">
      <c r="A15" s="1"/>
      <c r="B15" s="1"/>
      <c r="C15" s="6" t="s">
        <v>30</v>
      </c>
      <c r="D15" s="80" t="s">
        <v>141</v>
      </c>
      <c r="E15" s="81"/>
      <c r="F15" s="81"/>
      <c r="G15" s="82"/>
      <c r="H15" s="1"/>
      <c r="I15" s="1"/>
    </row>
    <row r="16" spans="1:9" x14ac:dyDescent="0.25">
      <c r="A16" s="1"/>
      <c r="B16" s="1"/>
      <c r="C16" s="6" t="s">
        <v>31</v>
      </c>
      <c r="D16" s="80" t="s">
        <v>194</v>
      </c>
      <c r="E16" s="81"/>
      <c r="F16" s="81"/>
      <c r="G16" s="82"/>
      <c r="H16" s="1"/>
      <c r="I16" s="1"/>
    </row>
    <row r="17" spans="1:9" x14ac:dyDescent="0.25">
      <c r="A17" s="1"/>
      <c r="B17" s="1"/>
      <c r="C17" s="6" t="s">
        <v>102</v>
      </c>
      <c r="D17" s="80" t="s">
        <v>195</v>
      </c>
      <c r="E17" s="81"/>
      <c r="F17" s="81"/>
      <c r="G17" s="82"/>
      <c r="H17" s="1"/>
      <c r="I17" s="1"/>
    </row>
    <row r="18" spans="1:9" x14ac:dyDescent="0.25">
      <c r="A18" s="1"/>
      <c r="B18" s="1"/>
      <c r="C18" s="6" t="s">
        <v>86</v>
      </c>
      <c r="D18" s="89" t="s">
        <v>79</v>
      </c>
      <c r="E18" s="90"/>
      <c r="F18" s="90"/>
      <c r="G18" s="91"/>
      <c r="H18" s="1"/>
      <c r="I18" s="1"/>
    </row>
    <row r="19" spans="1:9" x14ac:dyDescent="0.25">
      <c r="A19" s="1"/>
      <c r="B19" s="1"/>
      <c r="C19" s="6" t="s">
        <v>87</v>
      </c>
      <c r="D19" s="89" t="s">
        <v>80</v>
      </c>
      <c r="E19" s="90"/>
      <c r="F19" s="90"/>
      <c r="G19" s="91"/>
      <c r="H19" s="1"/>
      <c r="I19" s="1"/>
    </row>
    <row r="20" spans="1:9" x14ac:dyDescent="0.25">
      <c r="A20" s="1"/>
      <c r="B20" s="1"/>
      <c r="C20" s="6" t="s">
        <v>7</v>
      </c>
      <c r="D20" s="89" t="s">
        <v>9</v>
      </c>
      <c r="E20" s="90"/>
      <c r="F20" s="90"/>
      <c r="G20" s="91"/>
      <c r="H20" s="1"/>
      <c r="I20" s="1"/>
    </row>
    <row r="21" spans="1:9" x14ac:dyDescent="0.25">
      <c r="A21" s="1"/>
      <c r="B21" s="1"/>
      <c r="C21" s="6" t="s">
        <v>88</v>
      </c>
      <c r="D21" s="95" t="s">
        <v>11</v>
      </c>
      <c r="E21" s="96"/>
      <c r="F21" s="96"/>
      <c r="G21" s="97"/>
      <c r="H21" s="1"/>
      <c r="I21" s="1"/>
    </row>
    <row r="22" spans="1:9" x14ac:dyDescent="0.25">
      <c r="A22" s="1"/>
      <c r="B22" s="1"/>
      <c r="C22" s="6" t="s">
        <v>73</v>
      </c>
      <c r="D22" s="84" t="s">
        <v>196</v>
      </c>
      <c r="E22" s="85"/>
      <c r="F22" s="85"/>
      <c r="G22" s="86"/>
      <c r="H22" s="1"/>
      <c r="I22" s="1"/>
    </row>
    <row r="23" spans="1:9" x14ac:dyDescent="0.25">
      <c r="A23" s="1"/>
      <c r="B23" s="1"/>
      <c r="C23" s="6" t="s">
        <v>8</v>
      </c>
      <c r="D23" s="84" t="s">
        <v>176</v>
      </c>
      <c r="E23" s="85"/>
      <c r="F23" s="85"/>
      <c r="G23" s="86"/>
      <c r="H23" s="1"/>
      <c r="I23" s="1"/>
    </row>
    <row r="24" spans="1:9" x14ac:dyDescent="0.25">
      <c r="A24" s="1"/>
      <c r="B24" s="1"/>
      <c r="C24" s="6" t="s">
        <v>172</v>
      </c>
      <c r="D24" s="84" t="s">
        <v>163</v>
      </c>
      <c r="E24" s="85"/>
      <c r="F24" s="85"/>
      <c r="G24" s="86"/>
      <c r="H24" s="1"/>
      <c r="I24" s="1"/>
    </row>
    <row r="25" spans="1:9" x14ac:dyDescent="0.25">
      <c r="A25" s="1"/>
      <c r="B25" s="1"/>
      <c r="C25" s="6" t="s">
        <v>173</v>
      </c>
      <c r="D25" s="84" t="s">
        <v>74</v>
      </c>
      <c r="E25" s="85"/>
      <c r="F25" s="85"/>
      <c r="G25" s="86"/>
      <c r="H25" s="1"/>
      <c r="I25" s="1"/>
    </row>
    <row r="26" spans="1:9" x14ac:dyDescent="0.25">
      <c r="A26" s="1"/>
      <c r="B26" s="1"/>
      <c r="C26" s="6" t="s">
        <v>174</v>
      </c>
      <c r="D26" s="84" t="s">
        <v>75</v>
      </c>
      <c r="E26" s="85"/>
      <c r="F26" s="85"/>
      <c r="G26" s="86"/>
      <c r="H26" s="1"/>
      <c r="I26" s="1"/>
    </row>
    <row r="27" spans="1:9" x14ac:dyDescent="0.25">
      <c r="A27" s="1"/>
      <c r="B27" s="1"/>
      <c r="C27" s="6" t="s">
        <v>89</v>
      </c>
      <c r="D27" s="84" t="s">
        <v>103</v>
      </c>
      <c r="E27" s="85"/>
      <c r="F27" s="85"/>
      <c r="G27" s="86"/>
      <c r="H27" s="1"/>
      <c r="I27" s="1"/>
    </row>
    <row r="28" spans="1:9" x14ac:dyDescent="0.25">
      <c r="A28" s="1"/>
      <c r="B28" s="1"/>
      <c r="C28" s="6" t="s">
        <v>83</v>
      </c>
      <c r="D28" s="84" t="s">
        <v>32</v>
      </c>
      <c r="E28" s="85"/>
      <c r="F28" s="85"/>
      <c r="G28" s="86"/>
      <c r="H28" s="1"/>
      <c r="I28" s="1"/>
    </row>
    <row r="29" spans="1:9" x14ac:dyDescent="0.25">
      <c r="A29" s="1"/>
      <c r="B29" s="1"/>
      <c r="C29" s="6" t="s">
        <v>175</v>
      </c>
      <c r="D29" s="92" t="s">
        <v>84</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XagJQu7AkfgGsdRt+wV6iFc3ZHPMtPFFfscEVfg7xdfw3ETFC89w3GRyjAdW9Y7zAvibQ2lRT4w2bkXMeL2n8g==" saltValue="3a+f4GHYDhsqrTPSMPyLL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8" t="s">
        <v>226</v>
      </c>
      <c r="C8" s="109"/>
      <c r="D8" s="110"/>
      <c r="E8" s="1"/>
      <c r="F8" s="1"/>
    </row>
    <row r="9" spans="1:6" ht="15" customHeight="1" x14ac:dyDescent="0.25">
      <c r="A9" s="1"/>
      <c r="B9" s="32" t="s">
        <v>28</v>
      </c>
      <c r="C9" s="11" t="s">
        <v>212</v>
      </c>
      <c r="D9" s="11"/>
      <c r="E9" s="1"/>
      <c r="F9" s="1"/>
    </row>
    <row r="10" spans="1:6" ht="15" customHeight="1" x14ac:dyDescent="0.25">
      <c r="A10" s="1"/>
      <c r="B10" s="72" t="s">
        <v>243</v>
      </c>
      <c r="C10" s="9">
        <v>6362457</v>
      </c>
      <c r="D10" s="14" t="s">
        <v>3</v>
      </c>
      <c r="E10" s="1"/>
      <c r="F10" s="1"/>
    </row>
    <row r="11" spans="1:6" x14ac:dyDescent="0.25">
      <c r="A11" s="1"/>
      <c r="B11" s="72" t="s">
        <v>244</v>
      </c>
      <c r="C11" s="9">
        <v>70754</v>
      </c>
      <c r="D11" s="14" t="s">
        <v>3</v>
      </c>
      <c r="E11" s="1"/>
      <c r="F11" s="1"/>
    </row>
    <row r="12" spans="1:6" ht="26.25" x14ac:dyDescent="0.25">
      <c r="A12" s="1"/>
      <c r="B12" s="54" t="s">
        <v>245</v>
      </c>
      <c r="C12" s="9">
        <v>104797</v>
      </c>
      <c r="D12" s="14" t="s">
        <v>3</v>
      </c>
      <c r="E12" s="1"/>
      <c r="F12" s="1"/>
    </row>
    <row r="13" spans="1:6" x14ac:dyDescent="0.25">
      <c r="A13" s="1"/>
      <c r="B13" s="72" t="s">
        <v>246</v>
      </c>
      <c r="C13" s="9">
        <v>15397</v>
      </c>
      <c r="D13" s="14" t="s">
        <v>3</v>
      </c>
      <c r="E13" s="1"/>
      <c r="F13" s="1"/>
    </row>
    <row r="14" spans="1:6" x14ac:dyDescent="0.25">
      <c r="A14" s="1"/>
      <c r="B14" s="72" t="s">
        <v>247</v>
      </c>
      <c r="C14" s="9">
        <v>931</v>
      </c>
      <c r="D14" s="14" t="s">
        <v>3</v>
      </c>
      <c r="E14" s="1"/>
      <c r="F14" s="1"/>
    </row>
    <row r="15" spans="1:6" x14ac:dyDescent="0.25">
      <c r="A15" s="1"/>
      <c r="B15" s="72"/>
      <c r="C15" s="9"/>
      <c r="D15" s="14" t="s">
        <v>3</v>
      </c>
      <c r="E15" s="1"/>
      <c r="F15" s="1"/>
    </row>
    <row r="16" spans="1:6" x14ac:dyDescent="0.25">
      <c r="A16" s="1"/>
      <c r="B16" s="72"/>
      <c r="C16" s="9"/>
      <c r="D16" s="14" t="s">
        <v>3</v>
      </c>
      <c r="E16" s="1"/>
      <c r="F16" s="1"/>
    </row>
    <row r="17" spans="1:6" x14ac:dyDescent="0.25">
      <c r="A17" s="1"/>
      <c r="B17" s="72"/>
      <c r="C17" s="9"/>
      <c r="D17" s="14" t="s">
        <v>3</v>
      </c>
      <c r="E17" s="1"/>
      <c r="F17" s="1"/>
    </row>
    <row r="18" spans="1:6" x14ac:dyDescent="0.25">
      <c r="A18" s="1"/>
      <c r="B18" s="72"/>
      <c r="C18" s="9"/>
      <c r="D18" s="14" t="s">
        <v>3</v>
      </c>
      <c r="E18" s="1"/>
      <c r="F18" s="1"/>
    </row>
    <row r="19" spans="1:6" x14ac:dyDescent="0.25">
      <c r="A19" s="1"/>
      <c r="B19" s="51" t="s">
        <v>213</v>
      </c>
      <c r="C19" s="12">
        <f>SUM(C10:C18)</f>
        <v>6554336</v>
      </c>
      <c r="D19" s="13" t="s">
        <v>3</v>
      </c>
      <c r="E19" s="1"/>
      <c r="F19" s="1"/>
    </row>
    <row r="20" spans="1:6" x14ac:dyDescent="0.25">
      <c r="A20" s="1"/>
      <c r="B20" s="51" t="s">
        <v>214</v>
      </c>
      <c r="C20" s="12">
        <f>C19*(1+'Fane 13. Nøgletal'!C16)^2</f>
        <v>7656307.5977830393</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O0JEsU2dpsdW86JdpsolCZgv1hXfCxvFMUub7srW9zi5xXl2HanbLGnKa86ZA1pnXE2O4HiziMwk9ONv8FbaaQ==" saltValue="XG9T4VT2GVVd+NtUK1s1P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5947E-218A-4BA3-818E-B791FB8EA73F}">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227</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58"/>
      <c r="D6" s="59"/>
      <c r="E6" s="65"/>
      <c r="F6" s="65"/>
      <c r="G6" s="1"/>
    </row>
    <row r="7" spans="1:7" x14ac:dyDescent="0.25">
      <c r="A7" s="1"/>
      <c r="B7" s="1"/>
      <c r="C7" s="1"/>
      <c r="D7" s="1"/>
      <c r="E7" s="60"/>
      <c r="F7" s="1"/>
      <c r="G7" s="1"/>
    </row>
    <row r="8" spans="1:7" x14ac:dyDescent="0.25">
      <c r="A8" s="1"/>
      <c r="B8" s="108" t="s">
        <v>248</v>
      </c>
      <c r="C8" s="109"/>
      <c r="D8" s="109"/>
      <c r="E8" s="109"/>
      <c r="F8" s="110"/>
      <c r="G8" s="1"/>
    </row>
    <row r="9" spans="1:7" x14ac:dyDescent="0.25">
      <c r="A9" s="1"/>
      <c r="B9" s="102" t="s">
        <v>249</v>
      </c>
      <c r="C9" s="103"/>
      <c r="D9" s="104"/>
      <c r="E9" s="28">
        <v>326931</v>
      </c>
      <c r="F9" s="14" t="s">
        <v>3</v>
      </c>
      <c r="G9" s="1"/>
    </row>
    <row r="10" spans="1:7" x14ac:dyDescent="0.25">
      <c r="A10" s="1"/>
      <c r="B10" s="51"/>
      <c r="C10" s="52"/>
      <c r="D10" s="52"/>
      <c r="E10" s="52"/>
      <c r="F10" s="19"/>
      <c r="G10" s="1"/>
    </row>
    <row r="11" spans="1:7" ht="53.25" customHeight="1" x14ac:dyDescent="0.25">
      <c r="A11" s="1"/>
      <c r="B11" s="127" t="s">
        <v>250</v>
      </c>
      <c r="C11" s="128"/>
      <c r="D11" s="128"/>
      <c r="E11" s="128"/>
      <c r="F11" s="129"/>
      <c r="G11" s="1"/>
    </row>
    <row r="12" spans="1:7" x14ac:dyDescent="0.25">
      <c r="A12" s="1"/>
      <c r="B12" s="1"/>
      <c r="C12" s="1"/>
      <c r="D12" s="1"/>
      <c r="E12" s="1"/>
      <c r="F12" s="1"/>
      <c r="G12" s="1"/>
    </row>
    <row r="13" spans="1:7" x14ac:dyDescent="0.25">
      <c r="A13" s="1"/>
      <c r="B13" s="108" t="s">
        <v>140</v>
      </c>
      <c r="C13" s="109"/>
      <c r="D13" s="109"/>
      <c r="E13" s="109"/>
      <c r="F13" s="110"/>
      <c r="G13" s="1"/>
    </row>
    <row r="14" spans="1:7" x14ac:dyDescent="0.25">
      <c r="A14" s="1"/>
      <c r="B14" s="102" t="s">
        <v>251</v>
      </c>
      <c r="C14" s="103"/>
      <c r="D14" s="104"/>
      <c r="E14" s="9">
        <v>-204545</v>
      </c>
      <c r="F14" s="14" t="s">
        <v>3</v>
      </c>
      <c r="G14" s="1"/>
    </row>
    <row r="15" spans="1:7" x14ac:dyDescent="0.25">
      <c r="A15" s="1"/>
      <c r="B15" s="102" t="s">
        <v>252</v>
      </c>
      <c r="C15" s="103"/>
      <c r="D15" s="104"/>
      <c r="E15" s="9">
        <v>-204545</v>
      </c>
      <c r="F15" s="14" t="s">
        <v>3</v>
      </c>
      <c r="G15" s="1"/>
    </row>
    <row r="16" spans="1:7" x14ac:dyDescent="0.25">
      <c r="A16" s="1"/>
      <c r="B16" s="51"/>
      <c r="C16" s="52"/>
      <c r="D16" s="52"/>
      <c r="E16" s="52"/>
      <c r="F16" s="19"/>
      <c r="G16" s="1"/>
    </row>
    <row r="17" spans="1:7" ht="32.25" customHeight="1" x14ac:dyDescent="0.25">
      <c r="A17" s="1"/>
      <c r="B17" s="127" t="s">
        <v>253</v>
      </c>
      <c r="C17" s="128"/>
      <c r="D17" s="128"/>
      <c r="E17" s="128"/>
      <c r="F17" s="129"/>
      <c r="G17" s="1"/>
    </row>
    <row r="18" spans="1:7" x14ac:dyDescent="0.25">
      <c r="A18" s="1"/>
      <c r="B18" s="1"/>
      <c r="C18" s="1"/>
      <c r="D18" s="1"/>
      <c r="E18" s="1"/>
      <c r="F18" s="1"/>
      <c r="G18" s="1"/>
    </row>
    <row r="19" spans="1:7" x14ac:dyDescent="0.25">
      <c r="A19" s="1"/>
      <c r="B19" s="66" t="s">
        <v>254</v>
      </c>
      <c r="C19" s="67"/>
      <c r="D19" s="67"/>
      <c r="E19" s="67"/>
      <c r="F19" s="68"/>
      <c r="G19" s="1"/>
    </row>
    <row r="20" spans="1:7" x14ac:dyDescent="0.25">
      <c r="A20" s="1"/>
      <c r="B20" s="69" t="s">
        <v>255</v>
      </c>
      <c r="C20" s="70"/>
      <c r="D20" s="71"/>
      <c r="E20" s="9">
        <v>14226236</v>
      </c>
      <c r="F20" s="14" t="s">
        <v>3</v>
      </c>
      <c r="G20" s="1"/>
    </row>
    <row r="21" spans="1:7" x14ac:dyDescent="0.25">
      <c r="A21" s="1"/>
      <c r="B21" s="69" t="s">
        <v>256</v>
      </c>
      <c r="C21" s="70"/>
      <c r="D21" s="71"/>
      <c r="E21" s="9">
        <v>15388791</v>
      </c>
      <c r="F21" s="14" t="s">
        <v>3</v>
      </c>
      <c r="G21" s="1"/>
    </row>
    <row r="22" spans="1:7" x14ac:dyDescent="0.25">
      <c r="A22" s="1"/>
      <c r="B22" s="69" t="s">
        <v>29</v>
      </c>
      <c r="C22" s="70"/>
      <c r="D22" s="71"/>
      <c r="E22" s="9">
        <v>0</v>
      </c>
      <c r="F22" s="14" t="s">
        <v>3</v>
      </c>
      <c r="G22" s="1"/>
    </row>
    <row r="23" spans="1:7" x14ac:dyDescent="0.25">
      <c r="A23" s="1"/>
      <c r="B23" s="74" t="s">
        <v>257</v>
      </c>
      <c r="C23" s="75"/>
      <c r="D23" s="76"/>
      <c r="E23" s="10">
        <f>E20-(E21-E22)</f>
        <v>-1162555</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8" t="s">
        <v>258</v>
      </c>
      <c r="C26" s="109"/>
      <c r="D26" s="109"/>
      <c r="E26" s="109"/>
      <c r="F26" s="110"/>
      <c r="G26" s="1"/>
    </row>
    <row r="27" spans="1:7" x14ac:dyDescent="0.25">
      <c r="A27" s="1"/>
      <c r="B27" s="130" t="s">
        <v>259</v>
      </c>
      <c r="C27" s="131"/>
      <c r="D27" s="132"/>
      <c r="E27" s="61">
        <f>IF(AND(E15&lt;0,E23&gt;0,ABS(SUM(E14:E15))&lt;E23),ABS(E14),IF(AND(E15&lt;0,E23&gt;0,ABS(SUM(E14:E15))&gt;E23),SUM(E14,E23),0))</f>
        <v>0</v>
      </c>
      <c r="F27" s="17" t="s">
        <v>3</v>
      </c>
      <c r="G27" s="1"/>
    </row>
    <row r="28" spans="1:7" x14ac:dyDescent="0.25">
      <c r="A28" s="1"/>
      <c r="B28" s="108"/>
      <c r="C28" s="109"/>
      <c r="D28" s="109"/>
      <c r="E28" s="109"/>
      <c r="F28" s="110"/>
      <c r="G28" s="1"/>
    </row>
    <row r="29" spans="1:7" x14ac:dyDescent="0.25">
      <c r="A29" s="1"/>
      <c r="B29" s="1"/>
      <c r="C29" s="1"/>
      <c r="D29" s="1"/>
      <c r="E29" s="1"/>
      <c r="F29" s="1"/>
      <c r="G29" s="1"/>
    </row>
    <row r="30" spans="1:7" x14ac:dyDescent="0.25">
      <c r="A30" s="1"/>
      <c r="B30" s="108" t="s">
        <v>260</v>
      </c>
      <c r="C30" s="109"/>
      <c r="D30" s="109"/>
      <c r="E30" s="109"/>
      <c r="F30" s="110"/>
      <c r="G30" s="1"/>
    </row>
    <row r="31" spans="1:7" x14ac:dyDescent="0.25">
      <c r="A31" s="1"/>
      <c r="B31" s="120" t="s">
        <v>117</v>
      </c>
      <c r="C31" s="121"/>
      <c r="D31" s="122"/>
      <c r="E31" s="62">
        <f>IF(AND(E9&gt;0,(E9+E23)&gt;0),0,IF(AND(E9&gt;0,(E9+E23)&lt;0),(E9+E23),IF(AND(E9&lt;0,E23&lt;0),E23,0)))</f>
        <v>-835624</v>
      </c>
      <c r="F31" s="14" t="s">
        <v>3</v>
      </c>
      <c r="G31" s="1"/>
    </row>
    <row r="32" spans="1:7" x14ac:dyDescent="0.25">
      <c r="A32" s="1"/>
      <c r="B32" s="120" t="s">
        <v>85</v>
      </c>
      <c r="C32" s="121"/>
      <c r="D32" s="122"/>
      <c r="E32" s="9">
        <v>2</v>
      </c>
      <c r="F32" s="14" t="s">
        <v>18</v>
      </c>
      <c r="G32" s="1"/>
    </row>
    <row r="33" spans="1:7" x14ac:dyDescent="0.25">
      <c r="A33" s="1"/>
      <c r="B33" s="123" t="s">
        <v>116</v>
      </c>
      <c r="C33" s="123"/>
      <c r="D33" s="123"/>
      <c r="E33" s="61">
        <f>E31/E32</f>
        <v>-417812</v>
      </c>
      <c r="F33" s="17" t="s">
        <v>3</v>
      </c>
      <c r="G33" s="1"/>
    </row>
    <row r="34" spans="1:7" x14ac:dyDescent="0.25">
      <c r="A34" s="1"/>
      <c r="B34" s="124"/>
      <c r="C34" s="125"/>
      <c r="D34" s="125"/>
      <c r="E34" s="125"/>
      <c r="F34" s="12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m1FVNua8OmNXVSCdEJ3QiqfiBgYjsMuPHcCoshFDXaWC+WyRYOjEdTOHvgONletIgFhsgINP7PCvEYW0k6Puw==" saltValue="PoeoYcFuiPRhjZJ9bS6LZA=="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183</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8" t="s">
        <v>184</v>
      </c>
      <c r="C8" s="109"/>
      <c r="D8" s="109"/>
      <c r="E8" s="109"/>
      <c r="F8" s="109"/>
      <c r="G8" s="109"/>
      <c r="H8" s="110"/>
      <c r="I8" s="1"/>
    </row>
    <row r="9" spans="1:9" ht="15" customHeight="1" x14ac:dyDescent="0.25">
      <c r="A9" s="1"/>
      <c r="B9" s="133" t="s">
        <v>234</v>
      </c>
      <c r="C9" s="134"/>
      <c r="D9" s="134"/>
      <c r="E9" s="134"/>
      <c r="F9" s="134"/>
      <c r="G9" s="134"/>
      <c r="H9" s="135"/>
      <c r="I9" s="1"/>
    </row>
    <row r="10" spans="1:9" x14ac:dyDescent="0.25">
      <c r="A10" s="1"/>
      <c r="B10" s="136" t="s">
        <v>185</v>
      </c>
      <c r="C10" s="137"/>
      <c r="D10" s="137"/>
      <c r="E10" s="137"/>
      <c r="F10" s="138"/>
      <c r="G10" s="45"/>
      <c r="H10" s="9" t="s">
        <v>3</v>
      </c>
      <c r="I10" s="1"/>
    </row>
    <row r="11" spans="1:9" x14ac:dyDescent="0.25">
      <c r="A11" s="1"/>
      <c r="B11" s="136" t="s">
        <v>186</v>
      </c>
      <c r="C11" s="137"/>
      <c r="D11" s="137"/>
      <c r="E11" s="137"/>
      <c r="F11" s="138"/>
      <c r="G11" s="45"/>
      <c r="H11" s="9" t="s">
        <v>3</v>
      </c>
      <c r="I11" s="1"/>
    </row>
    <row r="12" spans="1:9" x14ac:dyDescent="0.25">
      <c r="A12" s="1"/>
      <c r="B12" s="136" t="s">
        <v>187</v>
      </c>
      <c r="C12" s="137"/>
      <c r="D12" s="137"/>
      <c r="E12" s="137"/>
      <c r="F12" s="138"/>
      <c r="G12" s="9"/>
      <c r="H12" s="9" t="s">
        <v>3</v>
      </c>
      <c r="I12" s="1"/>
    </row>
    <row r="13" spans="1:9" x14ac:dyDescent="0.25">
      <c r="A13" s="1"/>
      <c r="B13" s="136" t="s">
        <v>188</v>
      </c>
      <c r="C13" s="137"/>
      <c r="D13" s="137"/>
      <c r="E13" s="137"/>
      <c r="F13" s="138"/>
      <c r="G13" s="9"/>
      <c r="H13" s="9" t="s">
        <v>3</v>
      </c>
      <c r="I13" s="1"/>
    </row>
    <row r="14" spans="1:9" x14ac:dyDescent="0.25">
      <c r="A14" s="1"/>
      <c r="B14" s="136" t="s">
        <v>189</v>
      </c>
      <c r="C14" s="137"/>
      <c r="D14" s="137"/>
      <c r="E14" s="137"/>
      <c r="F14" s="138"/>
      <c r="G14" s="9"/>
      <c r="H14" s="9" t="s">
        <v>3</v>
      </c>
      <c r="I14" s="1"/>
    </row>
    <row r="15" spans="1:9" x14ac:dyDescent="0.25">
      <c r="A15" s="1"/>
      <c r="B15" s="136" t="s">
        <v>190</v>
      </c>
      <c r="C15" s="137"/>
      <c r="D15" s="137"/>
      <c r="E15" s="137"/>
      <c r="F15" s="138"/>
      <c r="G15" s="9"/>
      <c r="H15" s="9" t="s">
        <v>3</v>
      </c>
      <c r="I15" s="1"/>
    </row>
    <row r="16" spans="1:9" x14ac:dyDescent="0.25">
      <c r="A16" s="1"/>
      <c r="B16" s="136" t="s">
        <v>191</v>
      </c>
      <c r="C16" s="137"/>
      <c r="D16" s="137"/>
      <c r="E16" s="137"/>
      <c r="F16" s="138"/>
      <c r="G16" s="9"/>
      <c r="H16" s="9" t="s">
        <v>3</v>
      </c>
      <c r="I16" s="1"/>
    </row>
    <row r="17" spans="1:9" x14ac:dyDescent="0.25">
      <c r="A17" s="1"/>
      <c r="B17" s="136" t="s">
        <v>192</v>
      </c>
      <c r="C17" s="137"/>
      <c r="D17" s="137"/>
      <c r="E17" s="137"/>
      <c r="F17" s="138"/>
      <c r="G17" s="9"/>
      <c r="H17" s="9" t="s">
        <v>3</v>
      </c>
      <c r="I17" s="1"/>
    </row>
    <row r="18" spans="1:9" x14ac:dyDescent="0.25">
      <c r="A18" s="1"/>
      <c r="B18" s="108" t="s">
        <v>193</v>
      </c>
      <c r="C18" s="109"/>
      <c r="D18" s="109"/>
      <c r="E18" s="109"/>
      <c r="F18" s="11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yW3kUvd5FgRI1iOe9Y1F4Uje+2jbixsLw357m/1UjwGtShsKGi0EPN0rzUz4AclsYXEk3eExphuHFhvNAnGvJw==" saltValue="poUD3+OPgjVJUcAfdHS27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177</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155</v>
      </c>
      <c r="C8" s="109"/>
      <c r="D8" s="109"/>
      <c r="E8" s="109"/>
      <c r="F8" s="109"/>
      <c r="G8" s="109"/>
      <c r="H8" s="109"/>
      <c r="I8" s="109"/>
      <c r="J8" s="109"/>
      <c r="K8" s="110"/>
      <c r="L8" s="1"/>
    </row>
    <row r="9" spans="1:12" ht="39.75" customHeight="1" x14ac:dyDescent="0.25">
      <c r="A9" s="1"/>
      <c r="B9" s="18" t="s">
        <v>0</v>
      </c>
      <c r="C9" s="18" t="s">
        <v>1</v>
      </c>
      <c r="D9" s="139" t="s">
        <v>170</v>
      </c>
      <c r="E9" s="140"/>
      <c r="F9" s="139" t="s">
        <v>2</v>
      </c>
      <c r="G9" s="140"/>
      <c r="H9" s="139" t="s">
        <v>171</v>
      </c>
      <c r="I9" s="140"/>
      <c r="J9" s="139" t="s">
        <v>26</v>
      </c>
      <c r="K9" s="140"/>
      <c r="L9" s="1"/>
    </row>
    <row r="10" spans="1:12" x14ac:dyDescent="0.25">
      <c r="A10" s="1"/>
      <c r="B10" s="79"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IHZ3irt66sSy8sfVA9Ulf+6KwRl+j2KQm9nHOpZ24VWZMhC09EufnYsTRJ30M7Jo0SWc/q8sRkc7L+xG0iaAdA==" saltValue="/rfaJm/KOw1o57yADQvad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263</v>
      </c>
      <c r="C11" s="21">
        <v>96562</v>
      </c>
      <c r="D11" s="14" t="s">
        <v>3</v>
      </c>
      <c r="E11" s="9">
        <v>34017</v>
      </c>
      <c r="F11" s="14" t="s">
        <v>3</v>
      </c>
      <c r="G11" s="1"/>
    </row>
    <row r="12" spans="1:7" x14ac:dyDescent="0.25">
      <c r="A12" s="1"/>
      <c r="B12" s="27" t="s">
        <v>264</v>
      </c>
      <c r="C12" s="21">
        <v>11160</v>
      </c>
      <c r="D12" s="14" t="s">
        <v>3</v>
      </c>
      <c r="E12" s="9">
        <v>3841</v>
      </c>
      <c r="F12" s="14" t="s">
        <v>3</v>
      </c>
      <c r="G12" s="1"/>
    </row>
    <row r="13" spans="1:7" x14ac:dyDescent="0.25">
      <c r="A13" s="1"/>
      <c r="B13" s="27" t="s">
        <v>261</v>
      </c>
      <c r="C13" s="21">
        <v>0</v>
      </c>
      <c r="D13" s="14" t="s">
        <v>3</v>
      </c>
      <c r="E13" s="9">
        <v>2393</v>
      </c>
      <c r="F13" s="14" t="s">
        <v>3</v>
      </c>
      <c r="G13" s="1"/>
    </row>
    <row r="14" spans="1:7" x14ac:dyDescent="0.25">
      <c r="A14" s="1"/>
      <c r="B14" s="27" t="s">
        <v>265</v>
      </c>
      <c r="C14" s="21">
        <v>15513</v>
      </c>
      <c r="D14" s="14" t="s">
        <v>3</v>
      </c>
      <c r="E14" s="9">
        <v>0</v>
      </c>
      <c r="F14" s="14" t="s">
        <v>3</v>
      </c>
      <c r="G14" s="1"/>
    </row>
    <row r="15" spans="1:7" x14ac:dyDescent="0.25">
      <c r="A15" s="1"/>
      <c r="B15" s="27" t="s">
        <v>262</v>
      </c>
      <c r="C15" s="21">
        <v>129400</v>
      </c>
      <c r="D15" s="14" t="s">
        <v>3</v>
      </c>
      <c r="E15" s="9">
        <v>0</v>
      </c>
      <c r="F15" s="14" t="s">
        <v>3</v>
      </c>
      <c r="G15" s="1"/>
    </row>
    <row r="16" spans="1:7" x14ac:dyDescent="0.25">
      <c r="A16" s="1"/>
      <c r="B16" s="27" t="s">
        <v>268</v>
      </c>
      <c r="C16" s="21">
        <v>4656</v>
      </c>
      <c r="D16" s="14" t="s">
        <v>270</v>
      </c>
      <c r="E16" s="9">
        <v>0</v>
      </c>
      <c r="F16" s="14" t="s">
        <v>270</v>
      </c>
      <c r="G16" s="1"/>
    </row>
    <row r="17" spans="1:7" x14ac:dyDescent="0.25">
      <c r="A17" s="1"/>
      <c r="B17" s="27" t="s">
        <v>267</v>
      </c>
      <c r="C17" s="21">
        <v>29960</v>
      </c>
      <c r="D17" s="14" t="s">
        <v>3</v>
      </c>
      <c r="E17" s="9">
        <v>0</v>
      </c>
      <c r="F17" s="14" t="s">
        <v>3</v>
      </c>
      <c r="G17" s="1"/>
    </row>
    <row r="18" spans="1:7" x14ac:dyDescent="0.25">
      <c r="A18" s="1"/>
      <c r="B18" s="51" t="s">
        <v>151</v>
      </c>
      <c r="C18" s="12">
        <f>SUM(C10:C17)</f>
        <v>287251</v>
      </c>
      <c r="D18" s="13" t="s">
        <v>3</v>
      </c>
      <c r="E18" s="12">
        <f>SUM(E10:E17)</f>
        <v>40251</v>
      </c>
      <c r="F18" s="13" t="s">
        <v>3</v>
      </c>
      <c r="G18" s="1"/>
    </row>
    <row r="19" spans="1:7" x14ac:dyDescent="0.25">
      <c r="A19" s="1"/>
      <c r="B19" s="51" t="s">
        <v>209</v>
      </c>
      <c r="C19" s="12">
        <f>C18*(1+'Fane 13. Nøgletal'!C16)</f>
        <v>310460.88079999998</v>
      </c>
      <c r="D19" s="13" t="s">
        <v>3</v>
      </c>
      <c r="E19" s="12">
        <f>E18*(1+'Fane 13. Nøgletal'!C16)</f>
        <v>43503.2808</v>
      </c>
      <c r="F19" s="13" t="s">
        <v>3</v>
      </c>
      <c r="G19" s="1"/>
    </row>
    <row r="20" spans="1:7" x14ac:dyDescent="0.25">
      <c r="A20" s="1"/>
      <c r="B20" s="1"/>
      <c r="C20" s="1" t="s">
        <v>168</v>
      </c>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9q7AFhg5jDaDpoGBHG2VU/jU0RjdrWfzDxSnBrzQ+FJHQ/uhxS8caMIfPaB97eMPYtn06twtqyil8DYxxkPUBw==" saltValue="IkvENP/RUGahq40ZCC0nn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179</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8" t="s">
        <v>217</v>
      </c>
      <c r="C9" s="109"/>
      <c r="D9" s="109"/>
      <c r="E9" s="109"/>
      <c r="F9" s="110"/>
      <c r="G9" s="1"/>
    </row>
    <row r="10" spans="1:7" ht="26.25" x14ac:dyDescent="0.25">
      <c r="A10" s="1"/>
      <c r="B10" s="77" t="s">
        <v>15</v>
      </c>
      <c r="C10" s="77" t="s">
        <v>10</v>
      </c>
      <c r="D10" s="78"/>
      <c r="E10" s="77" t="s">
        <v>27</v>
      </c>
      <c r="F10" s="30"/>
      <c r="G10" s="1"/>
    </row>
    <row r="11" spans="1:7" x14ac:dyDescent="0.25">
      <c r="A11" s="1"/>
      <c r="B11" s="23" t="s">
        <v>266</v>
      </c>
      <c r="C11" s="21">
        <v>10443</v>
      </c>
      <c r="D11" s="14" t="s">
        <v>3</v>
      </c>
      <c r="E11" s="9">
        <v>0</v>
      </c>
      <c r="F11" s="14" t="s">
        <v>3</v>
      </c>
      <c r="G11" s="1"/>
    </row>
    <row r="12" spans="1:7" x14ac:dyDescent="0.25">
      <c r="A12" s="1"/>
      <c r="B12" s="23" t="s">
        <v>264</v>
      </c>
      <c r="C12" s="21">
        <v>1140</v>
      </c>
      <c r="D12" s="14" t="s">
        <v>3</v>
      </c>
      <c r="E12" s="9">
        <v>0</v>
      </c>
      <c r="F12" s="14" t="s">
        <v>3</v>
      </c>
      <c r="G12" s="1"/>
    </row>
    <row r="13" spans="1:7" x14ac:dyDescent="0.25">
      <c r="A13" s="1"/>
      <c r="B13" s="23" t="s">
        <v>269</v>
      </c>
      <c r="C13" s="21">
        <v>44260</v>
      </c>
      <c r="D13" s="14" t="s">
        <v>3</v>
      </c>
      <c r="E13" s="9">
        <v>0</v>
      </c>
      <c r="F13" s="14" t="s">
        <v>270</v>
      </c>
      <c r="G13" s="1"/>
    </row>
    <row r="14" spans="1:7" x14ac:dyDescent="0.25">
      <c r="A14" s="1"/>
      <c r="B14" s="23" t="s">
        <v>267</v>
      </c>
      <c r="C14" s="21">
        <v>3500</v>
      </c>
      <c r="D14" s="14" t="s">
        <v>3</v>
      </c>
      <c r="E14" s="9">
        <v>0</v>
      </c>
      <c r="F14" s="14" t="s">
        <v>3</v>
      </c>
      <c r="G14" s="1"/>
    </row>
    <row r="15" spans="1:7" x14ac:dyDescent="0.25">
      <c r="A15" s="1"/>
      <c r="B15" s="51" t="s">
        <v>218</v>
      </c>
      <c r="C15" s="12">
        <f>SUM(C11:C14)</f>
        <v>59343</v>
      </c>
      <c r="D15" s="13" t="s">
        <v>3</v>
      </c>
      <c r="E15" s="12">
        <f>SUM(E11:E14)</f>
        <v>0</v>
      </c>
      <c r="F15" s="13" t="s">
        <v>3</v>
      </c>
      <c r="G15" s="1"/>
    </row>
    <row r="16" spans="1:7" x14ac:dyDescent="0.25">
      <c r="A16" s="1"/>
      <c r="B16" s="51" t="s">
        <v>219</v>
      </c>
      <c r="C16" s="12">
        <f>C15*(1+'Fane 13. Nøgletal'!$C$16)^2</f>
        <v>69320.257883519997</v>
      </c>
      <c r="D16" s="13" t="s">
        <v>3</v>
      </c>
      <c r="E16" s="12">
        <f>E15*(1+'Fane 13. Nøgletal'!$C$16)^2</f>
        <v>0</v>
      </c>
      <c r="F16" s="13" t="s">
        <v>3</v>
      </c>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ht="18" customHeight="1"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ScM1I/FWSqVg/DWAo/AHnpq4F7iJSJhPXPE/fHTWLttnud52sBPOltPVHWBpP00EaiRMECdezxFMH6/jbsow==" saltValue="RB/ypiv0nivyNQblrQLcR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104</v>
      </c>
      <c r="C8" s="109"/>
      <c r="D8" s="109"/>
      <c r="E8" s="109"/>
      <c r="F8" s="110"/>
      <c r="G8" s="1"/>
    </row>
    <row r="9" spans="1:7" ht="15" customHeight="1" x14ac:dyDescent="0.25">
      <c r="A9" s="1"/>
      <c r="B9" s="53" t="s">
        <v>105</v>
      </c>
      <c r="C9" s="133" t="s">
        <v>10</v>
      </c>
      <c r="D9" s="135"/>
      <c r="E9" s="133" t="s">
        <v>27</v>
      </c>
      <c r="F9" s="135"/>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6VxiDROAh6ZXgebUCoMdiOM+JUbRypWczCNnBxZt9Vzu8A311gfX5EMdspX1CmANBmC5UB7z7w1ukJVytq17A==" saltValue="L2EccGpnbKy4DCRfGtkBT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181</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8" t="s">
        <v>237</v>
      </c>
      <c r="C10" s="109"/>
      <c r="D10" s="109"/>
      <c r="E10" s="109"/>
      <c r="F10" s="110"/>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CAELN1QTV7VOA67UwMHtYJ8xjRyQW2tOax5vZVGmHV5fearmrE5uBEJfUwd2POz0LPzScNmg3ZG21fFA0pDgw==" saltValue="hw/5FyRyvFfMl1QugQg0S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182</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72" t="s">
        <v>93</v>
      </c>
      <c r="C9" s="40">
        <v>1.2699999999999999E-2</v>
      </c>
      <c r="D9" s="1"/>
    </row>
    <row r="10" spans="1:4" x14ac:dyDescent="0.25">
      <c r="A10" s="1"/>
      <c r="B10" s="72" t="s">
        <v>21</v>
      </c>
      <c r="C10" s="40">
        <v>1.7500000000000002E-2</v>
      </c>
      <c r="D10" s="1"/>
    </row>
    <row r="11" spans="1:4" x14ac:dyDescent="0.25">
      <c r="A11" s="1"/>
      <c r="B11" s="72"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8"/>
      <c r="C17" s="110"/>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72" t="s">
        <v>95</v>
      </c>
      <c r="C21" s="42">
        <v>9.1000000000000004E-3</v>
      </c>
      <c r="D21" s="1"/>
    </row>
    <row r="22" spans="1:4" x14ac:dyDescent="0.25">
      <c r="A22" s="1"/>
      <c r="B22" s="72" t="s">
        <v>96</v>
      </c>
      <c r="C22" s="42">
        <v>1.77E-2</v>
      </c>
      <c r="D22" s="1"/>
    </row>
    <row r="23" spans="1:4" x14ac:dyDescent="0.25">
      <c r="A23" s="1"/>
      <c r="B23" s="72" t="s">
        <v>97</v>
      </c>
      <c r="C23" s="42">
        <v>8.6999999999999994E-3</v>
      </c>
      <c r="D23" s="1"/>
    </row>
    <row r="24" spans="1:4" x14ac:dyDescent="0.25">
      <c r="A24" s="1"/>
      <c r="B24" s="72" t="s">
        <v>98</v>
      </c>
      <c r="C24" s="42">
        <v>2.8400000000000002E-2</v>
      </c>
      <c r="D24" s="1"/>
    </row>
    <row r="25" spans="1:4" x14ac:dyDescent="0.25">
      <c r="A25" s="1"/>
      <c r="B25" s="72" t="s">
        <v>111</v>
      </c>
      <c r="C25" s="42">
        <v>2.75E-2</v>
      </c>
      <c r="D25" s="1"/>
    </row>
    <row r="26" spans="1:4" x14ac:dyDescent="0.25">
      <c r="A26" s="1"/>
      <c r="B26" s="72"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72"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zZKxaX+CRyI0Spf72CXnqPvtppcd6HdxFzG6+ALIVzQHZbhUCKJ/Da4HSNdp+1NHHRQFZ2RaMy0MXEbhcUeKTA==" saltValue="D1VANgHSifOREIQvD3SHGg=="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10256460.659633603</v>
      </c>
      <c r="D8" s="8" t="s">
        <v>3</v>
      </c>
      <c r="E8" s="1"/>
    </row>
    <row r="9" spans="1:5" ht="17.100000000000001" customHeight="1" x14ac:dyDescent="0.25">
      <c r="A9" s="1"/>
      <c r="B9" s="24" t="s">
        <v>33</v>
      </c>
      <c r="C9" s="7">
        <f>'Fane 10.1. Varige tillæg'!C19</f>
        <v>310460.88079999998</v>
      </c>
      <c r="D9" s="8" t="s">
        <v>3</v>
      </c>
      <c r="E9" s="1"/>
    </row>
    <row r="10" spans="1:5" ht="17.100000000000001" customHeight="1" x14ac:dyDescent="0.25">
      <c r="A10" s="1"/>
      <c r="B10" s="24" t="s">
        <v>34</v>
      </c>
      <c r="C10" s="9">
        <f>'Fane 10.1. Varige tillæg'!E19</f>
        <v>43503.2808</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393730.30374023627</v>
      </c>
      <c r="D15" s="8" t="s">
        <v>3</v>
      </c>
      <c r="E15" s="1"/>
    </row>
    <row r="16" spans="1:5" ht="17.100000000000001" customHeight="1" x14ac:dyDescent="0.25">
      <c r="A16" s="1"/>
      <c r="B16" s="24" t="s">
        <v>9</v>
      </c>
      <c r="C16" s="9">
        <f>-SUM(C8,C9:C15)*'Fane 5. Individuelt eff. krav'!G9</f>
        <v>-69040.462542468886</v>
      </c>
      <c r="D16" s="8" t="s">
        <v>3</v>
      </c>
      <c r="E16" s="1"/>
    </row>
    <row r="17" spans="1:5" ht="17.100000000000001" customHeight="1" x14ac:dyDescent="0.25">
      <c r="A17" s="1"/>
      <c r="B17" s="24" t="s">
        <v>22</v>
      </c>
      <c r="C17" s="9">
        <f>-'Fane 4.1. Gen. krav - drift'!G49</f>
        <v>-99494.939432393643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10835619.722998977</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7656307.5977830393</v>
      </c>
      <c r="D21" s="11" t="s">
        <v>3</v>
      </c>
      <c r="E21" s="1"/>
    </row>
    <row r="22" spans="1:5" ht="15" customHeight="1" x14ac:dyDescent="0.25">
      <c r="A22" s="1"/>
      <c r="B22" s="51" t="s">
        <v>75</v>
      </c>
      <c r="C22" s="52"/>
      <c r="D22" s="19"/>
      <c r="E22" s="1"/>
    </row>
    <row r="23" spans="1:5" ht="15" customHeight="1" x14ac:dyDescent="0.25">
      <c r="A23" s="1"/>
      <c r="B23" s="24" t="s">
        <v>71</v>
      </c>
      <c r="C23" s="9">
        <f>'Fane 10.2. Engangstillæg'!C16</f>
        <v>69320.257883519997</v>
      </c>
      <c r="D23" s="8" t="s">
        <v>3</v>
      </c>
      <c r="E23" s="1"/>
    </row>
    <row r="24" spans="1:5" ht="15" customHeight="1" x14ac:dyDescent="0.25">
      <c r="A24" s="1"/>
      <c r="B24" s="24" t="s">
        <v>72</v>
      </c>
      <c r="C24" s="9">
        <f>'Fane 10.2. Engangstillæg'!E16</f>
        <v>0</v>
      </c>
      <c r="D24" s="8" t="s">
        <v>3</v>
      </c>
      <c r="E24" s="1"/>
    </row>
    <row r="25" spans="1:5" ht="15" customHeight="1" x14ac:dyDescent="0.25">
      <c r="A25" s="1"/>
      <c r="B25" s="24" t="s">
        <v>164</v>
      </c>
      <c r="C25" s="9">
        <f>-C23*('Fane 13. Nøgletal'!C33+'Fane 5. Individuelt eff. krav'!G9)</f>
        <v>-1821.322933136858</v>
      </c>
      <c r="D25" s="8" t="s">
        <v>3</v>
      </c>
      <c r="E25" s="1"/>
    </row>
    <row r="26" spans="1:5" ht="15" customHeight="1" x14ac:dyDescent="0.25">
      <c r="A26" s="1"/>
      <c r="B26" s="24" t="s">
        <v>165</v>
      </c>
      <c r="C26" s="9">
        <f>-C24*('Fane 13. Nøgletal'!C28+'Fane 5. Individuelt eff. krav'!G9)</f>
        <v>0</v>
      </c>
      <c r="D26" s="8" t="s">
        <v>3</v>
      </c>
      <c r="E26" s="1"/>
    </row>
    <row r="27" spans="1:5" x14ac:dyDescent="0.25">
      <c r="A27" s="1"/>
      <c r="B27" s="74" t="s">
        <v>76</v>
      </c>
      <c r="C27" s="63">
        <f>SUM(C23:C26)</f>
        <v>67498.934950383133</v>
      </c>
      <c r="D27" s="11" t="s">
        <v>3</v>
      </c>
      <c r="E27" s="1"/>
    </row>
    <row r="28" spans="1:5" ht="15" customHeight="1" x14ac:dyDescent="0.25">
      <c r="A28" s="1"/>
      <c r="B28" s="26" t="s">
        <v>117</v>
      </c>
      <c r="C28" s="52"/>
      <c r="D28" s="19"/>
      <c r="E28" s="1"/>
    </row>
    <row r="29" spans="1:5" x14ac:dyDescent="0.25">
      <c r="A29" s="1"/>
      <c r="B29" s="73" t="s">
        <v>118</v>
      </c>
      <c r="C29" s="10">
        <f>'Fane 7. Kontrol af ØR2022'!E15</f>
        <v>-204545</v>
      </c>
      <c r="D29" s="11" t="s">
        <v>3</v>
      </c>
      <c r="E29" s="1"/>
    </row>
    <row r="30" spans="1:5" x14ac:dyDescent="0.25">
      <c r="A30" s="1"/>
      <c r="B30" s="26" t="s">
        <v>138</v>
      </c>
      <c r="C30" s="52"/>
      <c r="D30" s="19"/>
      <c r="E30" s="1"/>
    </row>
    <row r="31" spans="1:5" x14ac:dyDescent="0.25">
      <c r="A31" s="1"/>
      <c r="B31" s="73" t="s">
        <v>139</v>
      </c>
      <c r="C31" s="10">
        <f>'Fane 8. Skattesagen'!G13</f>
        <v>0</v>
      </c>
      <c r="D31" s="11" t="s">
        <v>3</v>
      </c>
      <c r="E31" s="1"/>
    </row>
    <row r="32" spans="1:5" x14ac:dyDescent="0.25">
      <c r="A32" s="1"/>
      <c r="B32" s="51" t="s">
        <v>126</v>
      </c>
      <c r="C32" s="33">
        <f>SUM(C19,C21,C27,C29,C31)</f>
        <v>18354881.255732398</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bjBY6fnBV3K8UNwR4Sd6kvj5n/8nuHqVFQ89OpPF4BO9iOfacXaGoKfVOwBr4Ee9wuF4RRHFih2Ltp4h4C8uQ==" saltValue="p2DEyVqdx3/rWcOxS49UP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10835619.722998977</v>
      </c>
      <c r="D8" s="8" t="s">
        <v>3</v>
      </c>
      <c r="E8" s="1"/>
    </row>
    <row r="9" spans="1:5" ht="15" customHeight="1" x14ac:dyDescent="0.25">
      <c r="A9" s="1"/>
      <c r="B9" s="29" t="s">
        <v>17</v>
      </c>
      <c r="C9" s="9">
        <f>SUM(C8:C8)*'Fane 13. Nøgletal'!C16</f>
        <v>875518.07361831726</v>
      </c>
      <c r="D9" s="8" t="s">
        <v>3</v>
      </c>
      <c r="E9" s="1"/>
    </row>
    <row r="10" spans="1:5" ht="15" customHeight="1" x14ac:dyDescent="0.25">
      <c r="A10" s="1"/>
      <c r="B10" s="29" t="s">
        <v>9</v>
      </c>
      <c r="C10" s="9">
        <f>-SUM(C8:C9)*'Fane 5. Individuelt eff. krav'!G9</f>
        <v>-73476.097091912816</v>
      </c>
      <c r="D10" s="8" t="s">
        <v>3</v>
      </c>
      <c r="E10" s="1"/>
    </row>
    <row r="11" spans="1:5" ht="15" customHeight="1" x14ac:dyDescent="0.25">
      <c r="A11" s="1"/>
      <c r="B11" s="29" t="s">
        <v>22</v>
      </c>
      <c r="C11" s="9">
        <f>-'Fane 4.1. Gen. krav - drift'!G54</f>
        <v>-105383.44792776043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11532278.251597621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8274937.2516839085</v>
      </c>
      <c r="D15" s="11" t="s">
        <v>3</v>
      </c>
      <c r="E15" s="1"/>
    </row>
    <row r="16" spans="1:5" x14ac:dyDescent="0.25">
      <c r="A16" s="1"/>
      <c r="B16" s="26" t="s">
        <v>117</v>
      </c>
      <c r="C16" s="52"/>
      <c r="D16" s="19"/>
      <c r="E16" s="1"/>
    </row>
    <row r="17" spans="1:5" ht="15" customHeight="1" x14ac:dyDescent="0.25">
      <c r="A17" s="1"/>
      <c r="B17" s="73" t="s">
        <v>118</v>
      </c>
      <c r="C17" s="10">
        <f>'Fane 7. Kontrol af ØR2022'!E33</f>
        <v>-417812</v>
      </c>
      <c r="D17" s="11" t="s">
        <v>3</v>
      </c>
      <c r="E17" s="1"/>
    </row>
    <row r="18" spans="1:5" x14ac:dyDescent="0.25">
      <c r="A18" s="1"/>
      <c r="B18" s="26" t="s">
        <v>138</v>
      </c>
      <c r="C18" s="52"/>
      <c r="D18" s="19"/>
      <c r="E18" s="1"/>
    </row>
    <row r="19" spans="1:5" x14ac:dyDescent="0.25">
      <c r="A19" s="1"/>
      <c r="B19" s="73" t="s">
        <v>139</v>
      </c>
      <c r="C19" s="10">
        <f>'Fane 8. Skattesagen'!G13</f>
        <v>0</v>
      </c>
      <c r="D19" s="11" t="s">
        <v>3</v>
      </c>
      <c r="E19" s="1"/>
    </row>
    <row r="20" spans="1:5" x14ac:dyDescent="0.25">
      <c r="A20" s="1"/>
      <c r="B20" s="51" t="s">
        <v>128</v>
      </c>
      <c r="C20" s="12">
        <f>SUM(C13,C15,C17,C19)</f>
        <v>19389403.50328153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ajCHJN17/uRxqBNPFLJOoAwvGKTU8g8+fTjTG3/fODbMikeUA4qoHGNsfEeCc9+g+APvxzh3ioY9fQ4jrswbw==" saltValue="r9Dd1pBfoHpd+71gPwnNM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200</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11532278.251597621</v>
      </c>
      <c r="D8" s="8" t="s">
        <v>3</v>
      </c>
      <c r="E8" s="1"/>
    </row>
    <row r="9" spans="1:5" ht="15" customHeight="1" x14ac:dyDescent="0.25">
      <c r="A9" s="1"/>
      <c r="B9" s="29" t="s">
        <v>17</v>
      </c>
      <c r="C9" s="9">
        <f>SUM(C8:C8)*'Fane 13. Nøgletal'!C16</f>
        <v>931808.08272908768</v>
      </c>
      <c r="D9" s="8" t="s">
        <v>3</v>
      </c>
      <c r="E9" s="1"/>
    </row>
    <row r="10" spans="1:5" ht="15" customHeight="1" x14ac:dyDescent="0.25">
      <c r="A10" s="1"/>
      <c r="B10" s="29" t="s">
        <v>9</v>
      </c>
      <c r="C10" s="9">
        <f>-SUM(C8:C9)*'Fane 5. Individuelt eff. krav'!G9</f>
        <v>-78200.123127874132</v>
      </c>
      <c r="D10" s="8" t="s">
        <v>3</v>
      </c>
      <c r="E10" s="1"/>
    </row>
    <row r="11" spans="1:5" ht="15" customHeight="1" x14ac:dyDescent="0.25">
      <c r="A11" s="1"/>
      <c r="B11" s="29" t="s">
        <v>22</v>
      </c>
      <c r="C11" s="9">
        <f>-'Fane 4.1. Gen. krav - drift'!G59</f>
        <v>-111620.46190991698</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12274265.749288918</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8943552.1816199683</v>
      </c>
      <c r="D15" s="11" t="s">
        <v>3</v>
      </c>
      <c r="E15" s="1"/>
    </row>
    <row r="16" spans="1:5" x14ac:dyDescent="0.25">
      <c r="A16" s="1"/>
      <c r="B16" s="51" t="s">
        <v>117</v>
      </c>
      <c r="C16" s="52"/>
      <c r="D16" s="19"/>
      <c r="E16" s="1"/>
    </row>
    <row r="17" spans="1:5" x14ac:dyDescent="0.25">
      <c r="A17" s="1"/>
      <c r="B17" s="53" t="s">
        <v>118</v>
      </c>
      <c r="C17" s="10">
        <f>'Fane 7. Kontrol af ØR2022'!E33</f>
        <v>-417812</v>
      </c>
      <c r="D17" s="11" t="s">
        <v>3</v>
      </c>
      <c r="E17" s="1"/>
    </row>
    <row r="18" spans="1:5" ht="15" customHeight="1" x14ac:dyDescent="0.25">
      <c r="A18" s="1"/>
      <c r="B18" s="26" t="s">
        <v>138</v>
      </c>
      <c r="C18" s="52"/>
      <c r="D18" s="19"/>
      <c r="E18" s="1"/>
    </row>
    <row r="19" spans="1:5" ht="15" customHeight="1" x14ac:dyDescent="0.25">
      <c r="A19" s="1"/>
      <c r="B19" s="73" t="s">
        <v>139</v>
      </c>
      <c r="C19" s="10">
        <f>'Fane 8. Skattesagen'!G14</f>
        <v>0</v>
      </c>
      <c r="D19" s="11" t="s">
        <v>3</v>
      </c>
      <c r="E19" s="1"/>
    </row>
    <row r="20" spans="1:5" x14ac:dyDescent="0.25">
      <c r="A20" s="1"/>
      <c r="B20" s="51" t="s">
        <v>143</v>
      </c>
      <c r="C20" s="12">
        <f>SUM(C13,C15,C17,C19)</f>
        <v>20800005.930908889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UjW7+JOc5PCxcEsrWdAlrCsE7GV+Iwn7j0/8prx9lqumXd1TGk8l8Sn0upz7vRkN2kDWztW4GcPpJPXXNTOqQ==" saltValue="LAnU0EA9yZTlvJli9SOHh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204</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12274265.749288918</v>
      </c>
      <c r="D8" s="8" t="s">
        <v>3</v>
      </c>
      <c r="E8" s="1"/>
    </row>
    <row r="9" spans="1:5" ht="15" customHeight="1" x14ac:dyDescent="0.25">
      <c r="A9" s="1"/>
      <c r="B9" s="29" t="s">
        <v>17</v>
      </c>
      <c r="C9" s="9">
        <f>SUM(C8:C8)*'Fane 13. Nøgletal'!C16</f>
        <v>991760.67254254455</v>
      </c>
      <c r="D9" s="8" t="s">
        <v>3</v>
      </c>
      <c r="E9" s="1"/>
    </row>
    <row r="10" spans="1:5" ht="15" customHeight="1" x14ac:dyDescent="0.25">
      <c r="A10" s="1"/>
      <c r="B10" s="29" t="s">
        <v>9</v>
      </c>
      <c r="C10" s="9">
        <f>-SUM(C8:C9)*'Fane 5. Individuelt eff. krav'!G9</f>
        <v>-83231.523898208849</v>
      </c>
      <c r="D10" s="8" t="s">
        <v>3</v>
      </c>
      <c r="E10" s="1"/>
    </row>
    <row r="11" spans="1:5" ht="15" customHeight="1" x14ac:dyDescent="0.25">
      <c r="A11" s="1"/>
      <c r="B11" s="29" t="s">
        <v>22</v>
      </c>
      <c r="C11" s="9">
        <f>-'Fane 4.1. Gen. krav - drift'!G64</f>
        <v>-118226.60732759349</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13064568.290605661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9666191.1978948619</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3" t="s">
        <v>139</v>
      </c>
      <c r="C19" s="10">
        <f>'Fane 8. Skattesagen'!G15</f>
        <v>0</v>
      </c>
      <c r="D19" s="11" t="s">
        <v>3</v>
      </c>
      <c r="E19" s="1"/>
    </row>
    <row r="20" spans="1:5" x14ac:dyDescent="0.25">
      <c r="A20" s="1"/>
      <c r="B20" s="51" t="s">
        <v>205</v>
      </c>
      <c r="C20" s="12">
        <f>SUM(C13,C15,C17,C19)</f>
        <v>22730759.488500521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7F0cSa61huuu6O7R5dDYj/cpLIRHLsjvSfF4RMxNW3xEDxwEHVS1LrTds8nkST9iNAcvXJfMqIKf1nxj3BlUg==" saltValue="cS6iY7ZZm8O24bYs2zTd6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201</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9555524.3516844958</v>
      </c>
      <c r="D8" s="8" t="s">
        <v>3</v>
      </c>
      <c r="E8" s="1"/>
    </row>
    <row r="9" spans="1:5" x14ac:dyDescent="0.25">
      <c r="A9" s="1"/>
      <c r="B9" s="24" t="s">
        <v>33</v>
      </c>
      <c r="C9" s="7">
        <v>371521.05469200003</v>
      </c>
      <c r="D9" s="8" t="s">
        <v>3</v>
      </c>
      <c r="E9" s="1"/>
    </row>
    <row r="10" spans="1:5" x14ac:dyDescent="0.25">
      <c r="A10" s="1"/>
      <c r="B10" s="24" t="s">
        <v>34</v>
      </c>
      <c r="C10" s="9">
        <v>128204.1732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357966.88503292325</v>
      </c>
      <c r="D15" s="8" t="s">
        <v>3</v>
      </c>
      <c r="E15" s="1"/>
    </row>
    <row r="16" spans="1:5" x14ac:dyDescent="0.25">
      <c r="A16" s="1"/>
      <c r="B16" s="24" t="s">
        <v>9</v>
      </c>
      <c r="C16" s="9">
        <v>-65332.8922672013</v>
      </c>
      <c r="D16" s="8" t="s">
        <v>3</v>
      </c>
      <c r="E16" s="1"/>
    </row>
    <row r="17" spans="1:5" x14ac:dyDescent="0.25">
      <c r="A17" s="1"/>
      <c r="B17" s="24" t="s">
        <v>22</v>
      </c>
      <c r="C17" s="9">
        <v>-91422.912708614997</v>
      </c>
      <c r="D17" s="8" t="s">
        <v>3</v>
      </c>
      <c r="E17" s="1"/>
    </row>
    <row r="18" spans="1:5" x14ac:dyDescent="0.25">
      <c r="A18" s="1"/>
      <c r="B18" s="24" t="s">
        <v>23</v>
      </c>
      <c r="C18" s="9">
        <v>0</v>
      </c>
      <c r="D18" s="8" t="s">
        <v>3</v>
      </c>
      <c r="E18" s="1"/>
    </row>
    <row r="19" spans="1:5" x14ac:dyDescent="0.25">
      <c r="A19" s="1"/>
      <c r="B19" s="74" t="s">
        <v>19</v>
      </c>
      <c r="C19" s="10">
        <v>10256460.659633603</v>
      </c>
      <c r="D19" s="11" t="s">
        <v>3</v>
      </c>
      <c r="E19" s="1"/>
    </row>
    <row r="20" spans="1:5" x14ac:dyDescent="0.25">
      <c r="A20" s="1"/>
      <c r="B20" s="51" t="s">
        <v>11</v>
      </c>
      <c r="C20" s="52"/>
      <c r="D20" s="19"/>
      <c r="E20" s="1"/>
    </row>
    <row r="21" spans="1:5" x14ac:dyDescent="0.25">
      <c r="A21" s="1"/>
      <c r="B21" s="53" t="s">
        <v>11</v>
      </c>
      <c r="C21" s="10">
        <v>6791298.7452681605</v>
      </c>
      <c r="D21" s="11" t="s">
        <v>3</v>
      </c>
      <c r="E21" s="1"/>
    </row>
    <row r="22" spans="1:5" x14ac:dyDescent="0.25">
      <c r="A22" s="1"/>
      <c r="B22" s="51" t="s">
        <v>75</v>
      </c>
      <c r="C22" s="52"/>
      <c r="D22" s="19"/>
      <c r="E22" s="1"/>
    </row>
    <row r="23" spans="1:5" x14ac:dyDescent="0.25">
      <c r="A23" s="1"/>
      <c r="B23" s="24" t="s">
        <v>71</v>
      </c>
      <c r="C23" s="9">
        <v>345553.27326144004</v>
      </c>
      <c r="D23" s="8" t="s">
        <v>3</v>
      </c>
      <c r="E23" s="1"/>
    </row>
    <row r="24" spans="1:5" x14ac:dyDescent="0.25">
      <c r="A24" s="1"/>
      <c r="B24" s="24" t="s">
        <v>72</v>
      </c>
      <c r="C24" s="9">
        <v>0</v>
      </c>
      <c r="D24" s="8" t="s">
        <v>3</v>
      </c>
      <c r="E24" s="1"/>
    </row>
    <row r="25" spans="1:5" x14ac:dyDescent="0.25">
      <c r="A25" s="1"/>
      <c r="B25" s="24" t="s">
        <v>164</v>
      </c>
      <c r="C25" s="9">
        <v>-9079.0790517412588</v>
      </c>
      <c r="D25" s="8" t="s">
        <v>3</v>
      </c>
      <c r="E25" s="1"/>
    </row>
    <row r="26" spans="1:5" x14ac:dyDescent="0.25">
      <c r="A26" s="1"/>
      <c r="B26" s="24" t="s">
        <v>165</v>
      </c>
      <c r="C26" s="9">
        <v>0</v>
      </c>
      <c r="D26" s="8" t="s">
        <v>3</v>
      </c>
      <c r="E26" s="1"/>
    </row>
    <row r="27" spans="1:5" x14ac:dyDescent="0.25">
      <c r="A27" s="1"/>
      <c r="B27" s="74" t="s">
        <v>76</v>
      </c>
      <c r="C27" s="56">
        <v>336474.19420969876</v>
      </c>
      <c r="D27" s="11" t="s">
        <v>3</v>
      </c>
      <c r="E27" s="1"/>
    </row>
    <row r="28" spans="1:5" x14ac:dyDescent="0.25">
      <c r="A28" s="1"/>
      <c r="B28" s="26" t="s">
        <v>117</v>
      </c>
      <c r="C28" s="52"/>
      <c r="D28" s="19"/>
      <c r="E28" s="1"/>
    </row>
    <row r="29" spans="1:5" x14ac:dyDescent="0.25">
      <c r="A29" s="1"/>
      <c r="B29" s="73" t="s">
        <v>118</v>
      </c>
      <c r="C29" s="10">
        <v>-204545.06912788001</v>
      </c>
      <c r="D29" s="11" t="s">
        <v>3</v>
      </c>
      <c r="E29" s="1"/>
    </row>
    <row r="30" spans="1:5" x14ac:dyDescent="0.25">
      <c r="A30" s="1"/>
      <c r="B30" s="26" t="s">
        <v>138</v>
      </c>
      <c r="C30" s="52"/>
      <c r="D30" s="19"/>
      <c r="E30" s="1"/>
    </row>
    <row r="31" spans="1:5" x14ac:dyDescent="0.25">
      <c r="A31" s="1"/>
      <c r="B31" s="73" t="s">
        <v>139</v>
      </c>
      <c r="C31" s="10">
        <v>0</v>
      </c>
      <c r="D31" s="11" t="s">
        <v>3</v>
      </c>
      <c r="E31" s="1"/>
    </row>
    <row r="32" spans="1:5" x14ac:dyDescent="0.25">
      <c r="A32" s="1"/>
      <c r="B32" s="51" t="s">
        <v>239</v>
      </c>
      <c r="C32" s="33">
        <v>17179688.529983584</v>
      </c>
      <c r="D32" s="19" t="s">
        <v>3</v>
      </c>
      <c r="E32" s="1"/>
    </row>
    <row r="33" spans="1:5" ht="30" customHeight="1" x14ac:dyDescent="0.25">
      <c r="A33" s="1"/>
      <c r="B33" s="100" t="s">
        <v>240</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YIcokEbL2Yfx0Py8yM34wxZuitQ9z4AKOfhP4OHK7P3bAAaYkK2LEfoUQsXmGmlKu8HFaNpJKW08VcMv8Ooog==" saltValue="yDCXjA5vKHItsGLUKj+Cb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8" t="s">
        <v>44</v>
      </c>
      <c r="C4" s="109"/>
      <c r="D4" s="109"/>
      <c r="E4" s="109"/>
      <c r="F4" s="109"/>
      <c r="G4" s="109"/>
      <c r="H4" s="110"/>
      <c r="I4" s="1"/>
    </row>
    <row r="5" spans="1:9" x14ac:dyDescent="0.25">
      <c r="A5" s="1"/>
      <c r="B5" s="102" t="s">
        <v>36</v>
      </c>
      <c r="C5" s="103"/>
      <c r="D5" s="103"/>
      <c r="E5" s="103"/>
      <c r="F5" s="104"/>
      <c r="G5" s="47">
        <v>3694667.3391598254</v>
      </c>
      <c r="H5" s="14" t="s">
        <v>3</v>
      </c>
      <c r="I5" s="1"/>
    </row>
    <row r="6" spans="1:9" x14ac:dyDescent="0.25">
      <c r="A6" s="1"/>
      <c r="B6" s="102" t="s">
        <v>37</v>
      </c>
      <c r="C6" s="103"/>
      <c r="D6" s="103"/>
      <c r="E6" s="103"/>
      <c r="F6" s="104"/>
      <c r="G6" s="22">
        <f>G5*'Fane 13. Nøgletal'!C33</f>
        <v>73893.34678319651</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8" t="s">
        <v>45</v>
      </c>
      <c r="C9" s="109"/>
      <c r="D9" s="109"/>
      <c r="E9" s="109"/>
      <c r="F9" s="109"/>
      <c r="G9" s="109"/>
      <c r="H9" s="110"/>
      <c r="I9" s="1"/>
    </row>
    <row r="10" spans="1:9" x14ac:dyDescent="0.25">
      <c r="A10" s="1"/>
      <c r="B10" s="102" t="s">
        <v>38</v>
      </c>
      <c r="C10" s="103"/>
      <c r="D10" s="103"/>
      <c r="E10" s="103"/>
      <c r="F10" s="104"/>
      <c r="G10" s="22">
        <f>(G5-G6)*(1+'Fane 13. Nøgletal'!C9)</f>
        <v>3666757.8220798117</v>
      </c>
      <c r="H10" s="14" t="s">
        <v>3</v>
      </c>
      <c r="I10" s="1"/>
    </row>
    <row r="11" spans="1:9" x14ac:dyDescent="0.25">
      <c r="A11" s="1"/>
      <c r="B11" s="105" t="s">
        <v>228</v>
      </c>
      <c r="C11" s="106"/>
      <c r="D11" s="106"/>
      <c r="E11" s="106"/>
      <c r="F11" s="107"/>
      <c r="G11" s="47">
        <v>0</v>
      </c>
      <c r="H11" s="14" t="s">
        <v>3</v>
      </c>
      <c r="I11" s="1"/>
    </row>
    <row r="12" spans="1:9" x14ac:dyDescent="0.25">
      <c r="A12" s="1"/>
      <c r="B12" s="102" t="s">
        <v>39</v>
      </c>
      <c r="C12" s="103"/>
      <c r="D12" s="103"/>
      <c r="E12" s="103"/>
      <c r="F12" s="104"/>
      <c r="G12" s="22">
        <f>(G10+G11)*'Fane 13. Nøgletal'!C33</f>
        <v>73335.156441596235</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8" t="s">
        <v>46</v>
      </c>
      <c r="C15" s="109"/>
      <c r="D15" s="109"/>
      <c r="E15" s="109"/>
      <c r="F15" s="109"/>
      <c r="G15" s="109"/>
      <c r="H15" s="110"/>
      <c r="I15" s="1"/>
    </row>
    <row r="16" spans="1:9" x14ac:dyDescent="0.25">
      <c r="A16" s="1"/>
      <c r="B16" s="102" t="s">
        <v>40</v>
      </c>
      <c r="C16" s="103"/>
      <c r="D16" s="103"/>
      <c r="E16" s="103"/>
      <c r="F16" s="104"/>
      <c r="G16" s="22">
        <f>(G10+G11-G12)*(1+'Fane 13. Nøgletal'!C11)</f>
        <v>3654151.5086875008</v>
      </c>
      <c r="H16" s="14" t="s">
        <v>3</v>
      </c>
      <c r="I16" s="1"/>
    </row>
    <row r="17" spans="1:9" x14ac:dyDescent="0.25">
      <c r="A17" s="1"/>
      <c r="B17" s="102" t="s">
        <v>100</v>
      </c>
      <c r="C17" s="103"/>
      <c r="D17" s="103"/>
      <c r="E17" s="103"/>
      <c r="F17" s="104"/>
      <c r="G17" s="47">
        <v>-20864.781339149249</v>
      </c>
      <c r="H17" s="14" t="s">
        <v>3</v>
      </c>
      <c r="I17" s="1"/>
    </row>
    <row r="18" spans="1:9" x14ac:dyDescent="0.25">
      <c r="A18" s="1"/>
      <c r="B18" s="105" t="s">
        <v>229</v>
      </c>
      <c r="C18" s="106"/>
      <c r="D18" s="106"/>
      <c r="E18" s="106"/>
      <c r="F18" s="107"/>
      <c r="G18" s="47">
        <v>0</v>
      </c>
      <c r="H18" s="14" t="s">
        <v>3</v>
      </c>
      <c r="I18" s="1"/>
    </row>
    <row r="19" spans="1:9" x14ac:dyDescent="0.25">
      <c r="A19" s="1"/>
      <c r="B19" s="102" t="s">
        <v>41</v>
      </c>
      <c r="C19" s="103"/>
      <c r="D19" s="103"/>
      <c r="E19" s="103"/>
      <c r="F19" s="104"/>
      <c r="G19" s="22">
        <f>SUM(G16:G18)*'Fane 13. Nøgletal'!C33</f>
        <v>72665.734546967025</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8" t="s">
        <v>47</v>
      </c>
      <c r="C22" s="109"/>
      <c r="D22" s="109"/>
      <c r="E22" s="109"/>
      <c r="F22" s="109"/>
      <c r="G22" s="109"/>
      <c r="H22" s="110"/>
      <c r="I22" s="1"/>
    </row>
    <row r="23" spans="1:9" x14ac:dyDescent="0.25">
      <c r="A23" s="1"/>
      <c r="B23" s="102" t="s">
        <v>42</v>
      </c>
      <c r="C23" s="103"/>
      <c r="D23" s="103"/>
      <c r="E23" s="103"/>
      <c r="F23" s="104"/>
      <c r="G23" s="22">
        <f>(SUM(G16:G18)-G19)*(1+'Fane 13. Nøgletal'!C11)</f>
        <v>3620795.4875797275</v>
      </c>
      <c r="H23" s="14" t="s">
        <v>3</v>
      </c>
      <c r="I23" s="1"/>
    </row>
    <row r="24" spans="1:9" x14ac:dyDescent="0.25">
      <c r="A24" s="1"/>
      <c r="B24" s="105" t="s">
        <v>230</v>
      </c>
      <c r="C24" s="106"/>
      <c r="D24" s="106"/>
      <c r="E24" s="106"/>
      <c r="F24" s="107"/>
      <c r="G24" s="47">
        <v>79256.807372160009</v>
      </c>
      <c r="H24" s="14" t="s">
        <v>3</v>
      </c>
      <c r="I24" s="1"/>
    </row>
    <row r="25" spans="1:9" x14ac:dyDescent="0.25">
      <c r="A25" s="1"/>
      <c r="B25" s="102" t="s">
        <v>43</v>
      </c>
      <c r="C25" s="103"/>
      <c r="D25" s="103"/>
      <c r="E25" s="103"/>
      <c r="F25" s="104"/>
      <c r="G25" s="22">
        <f>(G23+G24)*'Fane 13. Nøgletal'!C33</f>
        <v>74001.045899037752</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8" t="s">
        <v>121</v>
      </c>
      <c r="C28" s="109"/>
      <c r="D28" s="109"/>
      <c r="E28" s="109"/>
      <c r="F28" s="109"/>
      <c r="G28" s="109"/>
      <c r="H28" s="110"/>
      <c r="I28" s="1"/>
    </row>
    <row r="29" spans="1:9" x14ac:dyDescent="0.25">
      <c r="A29" s="1"/>
      <c r="B29" s="102" t="s">
        <v>50</v>
      </c>
      <c r="C29" s="103"/>
      <c r="D29" s="103"/>
      <c r="E29" s="103"/>
      <c r="F29" s="104"/>
      <c r="G29" s="22">
        <f>(G23+G24-G25)*(1+'Fane 13. Nøgletal'!C13)</f>
        <v>3670289.0742912944</v>
      </c>
      <c r="H29" s="14" t="s">
        <v>3</v>
      </c>
      <c r="I29" s="1"/>
    </row>
    <row r="30" spans="1:9" x14ac:dyDescent="0.25">
      <c r="A30" s="1"/>
      <c r="B30" s="102" t="s">
        <v>231</v>
      </c>
      <c r="C30" s="103"/>
      <c r="D30" s="103"/>
      <c r="E30" s="103"/>
      <c r="F30" s="104"/>
      <c r="G30" s="47">
        <v>347508.52464888</v>
      </c>
      <c r="H30" s="14" t="s">
        <v>3</v>
      </c>
      <c r="I30" s="1"/>
    </row>
    <row r="31" spans="1:9" x14ac:dyDescent="0.25">
      <c r="A31" s="1"/>
      <c r="B31" s="102" t="s">
        <v>115</v>
      </c>
      <c r="C31" s="103"/>
      <c r="D31" s="103"/>
      <c r="E31" s="103"/>
      <c r="F31" s="104"/>
      <c r="G31" s="22">
        <f>(G29+G30)*'Fane 13. Nøgletal'!C33</f>
        <v>80355.951978803496</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8" t="s">
        <v>122</v>
      </c>
      <c r="C34" s="109"/>
      <c r="D34" s="109"/>
      <c r="E34" s="109"/>
      <c r="F34" s="109"/>
      <c r="G34" s="109"/>
      <c r="H34" s="110"/>
      <c r="I34" s="1"/>
    </row>
    <row r="35" spans="1:9" x14ac:dyDescent="0.25">
      <c r="A35" s="1"/>
      <c r="B35" s="102" t="s">
        <v>69</v>
      </c>
      <c r="C35" s="103"/>
      <c r="D35" s="103"/>
      <c r="E35" s="103"/>
      <c r="F35" s="104"/>
      <c r="G35" s="22">
        <f>(G29+G30-G31)*(1+'Fane 13. Nøgletal'!C13)</f>
        <v>3985478.4350542994</v>
      </c>
      <c r="H35" s="14" t="s">
        <v>3</v>
      </c>
      <c r="I35" s="1"/>
    </row>
    <row r="36" spans="1:9" x14ac:dyDescent="0.25">
      <c r="A36" s="1"/>
      <c r="B36" s="102" t="s">
        <v>232</v>
      </c>
      <c r="C36" s="103"/>
      <c r="D36" s="103"/>
      <c r="E36" s="103"/>
      <c r="F36" s="104"/>
      <c r="G36" s="47">
        <v>139507.20985599002</v>
      </c>
      <c r="H36" s="14" t="s">
        <v>3</v>
      </c>
      <c r="I36" s="1"/>
    </row>
    <row r="37" spans="1:9" x14ac:dyDescent="0.25">
      <c r="A37" s="1"/>
      <c r="B37" s="102" t="s">
        <v>123</v>
      </c>
      <c r="C37" s="103"/>
      <c r="D37" s="103"/>
      <c r="E37" s="103"/>
      <c r="F37" s="104"/>
      <c r="G37" s="22">
        <f>(G35+G36)*'Fane 13. Nøgletal'!C33</f>
        <v>82499.712898205791</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8" t="s">
        <v>157</v>
      </c>
      <c r="C40" s="109"/>
      <c r="D40" s="109"/>
      <c r="E40" s="109"/>
      <c r="F40" s="109"/>
      <c r="G40" s="109"/>
      <c r="H40" s="110"/>
      <c r="I40" s="1"/>
    </row>
    <row r="41" spans="1:9" x14ac:dyDescent="0.25">
      <c r="A41" s="1"/>
      <c r="B41" s="102" t="s">
        <v>68</v>
      </c>
      <c r="C41" s="103"/>
      <c r="D41" s="103"/>
      <c r="E41" s="103"/>
      <c r="F41" s="104"/>
      <c r="G41" s="22">
        <f>(G35+G36-G37)*(1+'Fane 13. Nøgletal'!C15)</f>
        <v>4186398.431191714</v>
      </c>
      <c r="H41" s="14" t="s">
        <v>3</v>
      </c>
      <c r="I41" s="1"/>
    </row>
    <row r="42" spans="1:9" x14ac:dyDescent="0.25">
      <c r="A42" s="1"/>
      <c r="B42" s="102" t="s">
        <v>156</v>
      </c>
      <c r="C42" s="103"/>
      <c r="D42" s="103"/>
      <c r="E42" s="103"/>
      <c r="F42" s="104"/>
      <c r="G42" s="22">
        <v>384747.20423903526</v>
      </c>
      <c r="H42" s="14" t="s">
        <v>3</v>
      </c>
      <c r="I42" s="1"/>
    </row>
    <row r="43" spans="1:9" x14ac:dyDescent="0.25">
      <c r="A43" s="1"/>
      <c r="B43" s="102" t="s">
        <v>166</v>
      </c>
      <c r="C43" s="103"/>
      <c r="D43" s="103"/>
      <c r="E43" s="103"/>
      <c r="F43" s="104"/>
      <c r="G43" s="22">
        <f>(G41+G42)*'Fane 13. Nøgletal'!C33</f>
        <v>91422.912708614997</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8" t="s">
        <v>158</v>
      </c>
      <c r="C46" s="109"/>
      <c r="D46" s="109"/>
      <c r="E46" s="109"/>
      <c r="F46" s="109"/>
      <c r="G46" s="109"/>
      <c r="H46" s="110"/>
      <c r="I46" s="1"/>
    </row>
    <row r="47" spans="1:9" x14ac:dyDescent="0.25">
      <c r="A47" s="1"/>
      <c r="B47" s="102" t="s">
        <v>112</v>
      </c>
      <c r="C47" s="103"/>
      <c r="D47" s="103"/>
      <c r="E47" s="103"/>
      <c r="F47" s="104"/>
      <c r="G47" s="22">
        <f>(G41+G42-G43)*(1+'Fane 13. Nøgletal'!C15)</f>
        <v>4639200.8516510427</v>
      </c>
      <c r="H47" s="14" t="s">
        <v>3</v>
      </c>
      <c r="I47" s="1"/>
    </row>
    <row r="48" spans="1:9" x14ac:dyDescent="0.25">
      <c r="A48" s="1"/>
      <c r="B48" s="102" t="s">
        <v>206</v>
      </c>
      <c r="C48" s="103"/>
      <c r="D48" s="103"/>
      <c r="E48" s="103"/>
      <c r="F48" s="104"/>
      <c r="G48" s="22">
        <f>('Fane 2.1. Økonomisk ramme 2024'!C9+'Fane 2.1. Økonomisk ramme 2024'!C11+'Fane 2.1. Økonomisk ramme 2024'!C13)*(1+'Fane 13. Nøgletal'!C16)</f>
        <v>335546.11996863998</v>
      </c>
      <c r="H48" s="14" t="s">
        <v>3</v>
      </c>
      <c r="I48" s="1"/>
    </row>
    <row r="49" spans="1:9" x14ac:dyDescent="0.25">
      <c r="A49" s="1"/>
      <c r="B49" s="102" t="s">
        <v>167</v>
      </c>
      <c r="C49" s="103"/>
      <c r="D49" s="103"/>
      <c r="E49" s="103"/>
      <c r="F49" s="104"/>
      <c r="G49" s="22">
        <f>G47*'Fane 13. Nøgletal'!C33+G48*'Fane 13. Nøgletal'!C33</f>
        <v>99494.939432393643</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8" t="s">
        <v>133</v>
      </c>
      <c r="C52" s="109"/>
      <c r="D52" s="109"/>
      <c r="E52" s="109"/>
      <c r="F52" s="109"/>
      <c r="G52" s="109"/>
      <c r="H52" s="110"/>
      <c r="I52" s="1"/>
    </row>
    <row r="53" spans="1:9" x14ac:dyDescent="0.25">
      <c r="A53" s="1"/>
      <c r="B53" s="102" t="s">
        <v>134</v>
      </c>
      <c r="C53" s="103"/>
      <c r="D53" s="103"/>
      <c r="E53" s="103"/>
      <c r="F53" s="104"/>
      <c r="G53" s="22">
        <f>(G47+G48-G49)*(1+'Fane 13. Nøgletal'!C16)</f>
        <v>5269172.3963880213</v>
      </c>
      <c r="H53" s="14" t="s">
        <v>3</v>
      </c>
      <c r="I53" s="1"/>
    </row>
    <row r="54" spans="1:9" x14ac:dyDescent="0.25">
      <c r="A54" s="1"/>
      <c r="B54" s="102" t="s">
        <v>135</v>
      </c>
      <c r="C54" s="103"/>
      <c r="D54" s="103"/>
      <c r="E54" s="103"/>
      <c r="F54" s="104"/>
      <c r="G54" s="22">
        <f>(G53)*'Fane 13. Nøgletal'!C33</f>
        <v>105383.44792776043</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8" t="s">
        <v>144</v>
      </c>
      <c r="C57" s="109"/>
      <c r="D57" s="109"/>
      <c r="E57" s="109"/>
      <c r="F57" s="109"/>
      <c r="G57" s="109"/>
      <c r="H57" s="110"/>
      <c r="I57" s="1"/>
    </row>
    <row r="58" spans="1:9" x14ac:dyDescent="0.25">
      <c r="A58" s="1"/>
      <c r="B58" s="102" t="s">
        <v>145</v>
      </c>
      <c r="C58" s="103"/>
      <c r="D58" s="103"/>
      <c r="E58" s="103"/>
      <c r="F58" s="104"/>
      <c r="G58" s="22">
        <f>(G53-G54)*(1+'Fane 13. Nøgletal'!C16)</f>
        <v>5581023.0954958489</v>
      </c>
      <c r="H58" s="14" t="s">
        <v>3</v>
      </c>
      <c r="I58" s="1"/>
    </row>
    <row r="59" spans="1:9" x14ac:dyDescent="0.25">
      <c r="A59" s="1"/>
      <c r="B59" s="102" t="s">
        <v>146</v>
      </c>
      <c r="C59" s="103"/>
      <c r="D59" s="103"/>
      <c r="E59" s="103"/>
      <c r="F59" s="104"/>
      <c r="G59" s="22">
        <f>(G58)*'Fane 13. Nøgletal'!C33</f>
        <v>111620.46190991698</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8" t="s">
        <v>220</v>
      </c>
      <c r="C62" s="109"/>
      <c r="D62" s="109"/>
      <c r="E62" s="109"/>
      <c r="F62" s="109"/>
      <c r="G62" s="109"/>
      <c r="H62" s="110"/>
      <c r="I62" s="1"/>
    </row>
    <row r="63" spans="1:9" x14ac:dyDescent="0.25">
      <c r="A63" s="1"/>
      <c r="B63" s="102" t="s">
        <v>221</v>
      </c>
      <c r="C63" s="103"/>
      <c r="D63" s="103"/>
      <c r="E63" s="103"/>
      <c r="F63" s="104"/>
      <c r="G63" s="22">
        <f>(G58-G59)*(1+'Fane 13. Nøgletal'!C16)</f>
        <v>5911330.3663796745</v>
      </c>
      <c r="H63" s="14" t="s">
        <v>3</v>
      </c>
      <c r="I63" s="1"/>
    </row>
    <row r="64" spans="1:9" x14ac:dyDescent="0.25">
      <c r="A64" s="1"/>
      <c r="B64" s="102" t="s">
        <v>222</v>
      </c>
      <c r="C64" s="103"/>
      <c r="D64" s="103"/>
      <c r="E64" s="103"/>
      <c r="F64" s="104"/>
      <c r="G64" s="22">
        <f>(G63)*'Fane 13. Nøgletal'!C33</f>
        <v>118226.60732759349</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f8NjF/vmYj35vfYq76IOgL4zVGAtYsjyj7VKlZe0OqnYtlPELhmTlYxtFxR/dVKQPGXb/S5Ch8wo3owHLUV7yQ==" saltValue="VRvktqnf4qxqXqeZHv0H3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8" t="s">
        <v>48</v>
      </c>
      <c r="C4" s="109"/>
      <c r="D4" s="109"/>
      <c r="E4" s="109"/>
      <c r="F4" s="109"/>
      <c r="G4" s="109"/>
      <c r="H4" s="110"/>
      <c r="I4" s="1"/>
    </row>
    <row r="5" spans="1:9" x14ac:dyDescent="0.25">
      <c r="A5" s="1"/>
      <c r="B5" s="102" t="s">
        <v>51</v>
      </c>
      <c r="C5" s="103"/>
      <c r="D5" s="103"/>
      <c r="E5" s="103"/>
      <c r="F5" s="104"/>
      <c r="G5" s="47">
        <v>5083638.7747754324</v>
      </c>
      <c r="H5" s="14" t="s">
        <v>3</v>
      </c>
      <c r="I5" s="1"/>
    </row>
    <row r="6" spans="1:9" x14ac:dyDescent="0.25">
      <c r="A6" s="1"/>
      <c r="B6" s="102" t="s">
        <v>49</v>
      </c>
      <c r="C6" s="103"/>
      <c r="D6" s="103"/>
      <c r="E6" s="103"/>
      <c r="F6" s="104"/>
      <c r="G6" s="22">
        <f>G5*'Fane 13. Nøgletal'!C21</f>
        <v>46261.11285045644</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8" t="s">
        <v>52</v>
      </c>
      <c r="C9" s="109"/>
      <c r="D9" s="109"/>
      <c r="E9" s="109"/>
      <c r="F9" s="109"/>
      <c r="G9" s="109"/>
      <c r="H9" s="110"/>
      <c r="I9" s="1"/>
    </row>
    <row r="10" spans="1:9" x14ac:dyDescent="0.25">
      <c r="A10" s="1"/>
      <c r="B10" s="102" t="s">
        <v>53</v>
      </c>
      <c r="C10" s="103"/>
      <c r="D10" s="103"/>
      <c r="E10" s="103"/>
      <c r="F10" s="104"/>
      <c r="G10" s="22">
        <f>(G5-G6)*(1+'Fane 13. Nøgletal'!C9)</f>
        <v>5101352.3582314225</v>
      </c>
      <c r="H10" s="14" t="s">
        <v>3</v>
      </c>
      <c r="I10" s="1"/>
    </row>
    <row r="11" spans="1:9" x14ac:dyDescent="0.25">
      <c r="A11" s="1"/>
      <c r="B11" s="105" t="s">
        <v>54</v>
      </c>
      <c r="C11" s="106"/>
      <c r="D11" s="106"/>
      <c r="E11" s="106"/>
      <c r="F11" s="107"/>
      <c r="G11" s="48">
        <v>0</v>
      </c>
      <c r="H11" s="14" t="s">
        <v>3</v>
      </c>
      <c r="I11" s="1"/>
    </row>
    <row r="12" spans="1:9" x14ac:dyDescent="0.25">
      <c r="A12" s="1"/>
      <c r="B12" s="102" t="s">
        <v>55</v>
      </c>
      <c r="C12" s="103"/>
      <c r="D12" s="103"/>
      <c r="E12" s="103"/>
      <c r="F12" s="104"/>
      <c r="G12" s="22">
        <f>G10*'Fane 13. Nøgletal'!C21+G11*'Fane 13. Nøgletal'!C22</f>
        <v>46422.306459905943</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8" t="s">
        <v>56</v>
      </c>
      <c r="C15" s="109"/>
      <c r="D15" s="109"/>
      <c r="E15" s="109"/>
      <c r="F15" s="109"/>
      <c r="G15" s="109"/>
      <c r="H15" s="110"/>
      <c r="I15" s="1"/>
    </row>
    <row r="16" spans="1:9" x14ac:dyDescent="0.25">
      <c r="A16" s="1"/>
      <c r="B16" s="102" t="s">
        <v>57</v>
      </c>
      <c r="C16" s="103"/>
      <c r="D16" s="103"/>
      <c r="E16" s="103"/>
      <c r="F16" s="104"/>
      <c r="G16" s="22">
        <f>(G10+G11-G12)*(1+'Fane 13. Nøgletal'!C11)</f>
        <v>5140358.3696464552</v>
      </c>
      <c r="H16" s="14" t="s">
        <v>3</v>
      </c>
      <c r="I16" s="1"/>
    </row>
    <row r="17" spans="1:9" x14ac:dyDescent="0.25">
      <c r="A17" s="1"/>
      <c r="B17" s="102" t="s">
        <v>101</v>
      </c>
      <c r="C17" s="103"/>
      <c r="D17" s="103"/>
      <c r="E17" s="103"/>
      <c r="F17" s="104"/>
      <c r="G17" s="47">
        <v>411279.4682196076</v>
      </c>
      <c r="H17" s="14" t="s">
        <v>3</v>
      </c>
      <c r="I17" s="1"/>
    </row>
    <row r="18" spans="1:9" x14ac:dyDescent="0.25">
      <c r="A18" s="1"/>
      <c r="B18" s="105" t="s">
        <v>58</v>
      </c>
      <c r="C18" s="106"/>
      <c r="D18" s="106"/>
      <c r="E18" s="106"/>
      <c r="F18" s="107"/>
      <c r="G18" s="47">
        <v>0</v>
      </c>
      <c r="H18" s="14" t="s">
        <v>3</v>
      </c>
      <c r="I18" s="1"/>
    </row>
    <row r="19" spans="1:9" x14ac:dyDescent="0.25">
      <c r="A19" s="1"/>
      <c r="B19" s="102" t="s">
        <v>59</v>
      </c>
      <c r="C19" s="103"/>
      <c r="D19" s="103"/>
      <c r="E19" s="103"/>
      <c r="F19" s="104"/>
      <c r="G19" s="22">
        <f>(G16+G17+G18)*'Fane 13. Nøgletal'!C23</f>
        <v>48299.24918943474</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8" t="s">
        <v>60</v>
      </c>
      <c r="C22" s="109"/>
      <c r="D22" s="109"/>
      <c r="E22" s="109"/>
      <c r="F22" s="109"/>
      <c r="G22" s="109"/>
      <c r="H22" s="110"/>
      <c r="I22" s="1"/>
    </row>
    <row r="23" spans="1:9" x14ac:dyDescent="0.25">
      <c r="A23" s="1"/>
      <c r="B23" s="102" t="s">
        <v>61</v>
      </c>
      <c r="C23" s="103"/>
      <c r="D23" s="103"/>
      <c r="E23" s="103"/>
      <c r="F23" s="104"/>
      <c r="G23" s="22">
        <f>(SUM(G16:G18)-G19)*(1+'Fane 13. Nøgletal'!C11)</f>
        <v>5596345.0108252624</v>
      </c>
      <c r="H23" s="14" t="s">
        <v>3</v>
      </c>
      <c r="I23" s="1"/>
    </row>
    <row r="24" spans="1:9" x14ac:dyDescent="0.25">
      <c r="A24" s="1"/>
      <c r="B24" s="105" t="s">
        <v>62</v>
      </c>
      <c r="C24" s="106"/>
      <c r="D24" s="106"/>
      <c r="E24" s="106"/>
      <c r="F24" s="107"/>
      <c r="G24" s="47">
        <v>475346.41453508462</v>
      </c>
      <c r="H24" s="14" t="s">
        <v>3</v>
      </c>
      <c r="I24" s="1"/>
    </row>
    <row r="25" spans="1:9" x14ac:dyDescent="0.25">
      <c r="A25" s="1"/>
      <c r="B25" s="102" t="s">
        <v>63</v>
      </c>
      <c r="C25" s="103"/>
      <c r="D25" s="103"/>
      <c r="E25" s="103"/>
      <c r="F25" s="104"/>
      <c r="G25" s="22">
        <f>G23*'Fane 13. Nøgletal'!C23+G24*'Fane 13. Nøgletal'!C24</f>
        <v>62188.039766976188</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8" t="s">
        <v>119</v>
      </c>
      <c r="C28" s="109"/>
      <c r="D28" s="109"/>
      <c r="E28" s="109"/>
      <c r="F28" s="109"/>
      <c r="G28" s="109"/>
      <c r="H28" s="110"/>
      <c r="I28" s="1"/>
    </row>
    <row r="29" spans="1:9" x14ac:dyDescent="0.25">
      <c r="A29" s="1"/>
      <c r="B29" s="102" t="s">
        <v>64</v>
      </c>
      <c r="C29" s="103"/>
      <c r="D29" s="103"/>
      <c r="E29" s="103"/>
      <c r="F29" s="104"/>
      <c r="G29" s="22">
        <f>(G23+G24-G25)*(1+'Fane 13. Nøgletal'!C13)</f>
        <v>6082819.32689761</v>
      </c>
      <c r="H29" s="14" t="s">
        <v>3</v>
      </c>
      <c r="I29" s="1"/>
    </row>
    <row r="30" spans="1:9" x14ac:dyDescent="0.25">
      <c r="A30" s="1"/>
      <c r="B30" s="102" t="s">
        <v>113</v>
      </c>
      <c r="C30" s="103"/>
      <c r="D30" s="103"/>
      <c r="E30" s="103"/>
      <c r="F30" s="104"/>
      <c r="G30" s="47">
        <v>7312.2050710799995</v>
      </c>
      <c r="H30" s="14" t="s">
        <v>3</v>
      </c>
      <c r="I30" s="1"/>
    </row>
    <row r="31" spans="1:9" x14ac:dyDescent="0.25">
      <c r="A31" s="1"/>
      <c r="B31" s="102" t="s">
        <v>120</v>
      </c>
      <c r="C31" s="103"/>
      <c r="D31" s="103"/>
      <c r="E31" s="103"/>
      <c r="F31" s="104"/>
      <c r="G31" s="22">
        <f>(G29+G30)*'Fane 13. Nøgletal'!C25</f>
        <v>167478.61712913896</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8" t="s">
        <v>124</v>
      </c>
      <c r="C34" s="109"/>
      <c r="D34" s="109"/>
      <c r="E34" s="109"/>
      <c r="F34" s="109"/>
      <c r="G34" s="109"/>
      <c r="H34" s="110"/>
      <c r="I34" s="1"/>
    </row>
    <row r="35" spans="1:9" x14ac:dyDescent="0.25">
      <c r="A35" s="1"/>
      <c r="B35" s="102" t="s">
        <v>67</v>
      </c>
      <c r="C35" s="103"/>
      <c r="D35" s="103"/>
      <c r="E35" s="103"/>
      <c r="F35" s="104"/>
      <c r="G35" s="22">
        <f>(G29+G30-G31)*(1+'Fane 13. Nøgletal'!C13)</f>
        <v>5994909.2804005938</v>
      </c>
      <c r="H35" s="14" t="s">
        <v>3</v>
      </c>
      <c r="I35" s="1"/>
    </row>
    <row r="36" spans="1:9" x14ac:dyDescent="0.25">
      <c r="A36" s="1"/>
      <c r="B36" s="102" t="s">
        <v>129</v>
      </c>
      <c r="C36" s="103"/>
      <c r="D36" s="103"/>
      <c r="E36" s="103"/>
      <c r="F36" s="104"/>
      <c r="G36" s="47">
        <v>2991.6475650800003</v>
      </c>
      <c r="H36" s="14" t="s">
        <v>3</v>
      </c>
      <c r="I36" s="1"/>
    </row>
    <row r="37" spans="1:9" x14ac:dyDescent="0.25">
      <c r="A37" s="1"/>
      <c r="B37" s="102" t="s">
        <v>125</v>
      </c>
      <c r="C37" s="103"/>
      <c r="D37" s="103"/>
      <c r="E37" s="103"/>
      <c r="F37" s="104"/>
      <c r="G37" s="22">
        <f>G35*'Fane 13. Nøgletal'!C25+G36*'Fane 13. Nøgletal'!C26</f>
        <v>164904.28159497952</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8" t="s">
        <v>159</v>
      </c>
      <c r="C40" s="109"/>
      <c r="D40" s="109"/>
      <c r="E40" s="109"/>
      <c r="F40" s="109"/>
      <c r="G40" s="109"/>
      <c r="H40" s="110"/>
      <c r="I40" s="1"/>
    </row>
    <row r="41" spans="1:9" x14ac:dyDescent="0.25">
      <c r="A41" s="1"/>
      <c r="B41" s="102" t="s">
        <v>66</v>
      </c>
      <c r="C41" s="103"/>
      <c r="D41" s="103"/>
      <c r="E41" s="103"/>
      <c r="F41" s="104"/>
      <c r="G41" s="22">
        <f>(G35+G36-G37)*(1+'Fane 13. Nøgletal'!C15)</f>
        <v>6040651.3269814914</v>
      </c>
      <c r="H41" s="14" t="s">
        <v>3</v>
      </c>
      <c r="I41" s="1"/>
    </row>
    <row r="42" spans="1:9" x14ac:dyDescent="0.25">
      <c r="A42" s="1"/>
      <c r="B42" s="102" t="s">
        <v>169</v>
      </c>
      <c r="C42" s="103"/>
      <c r="D42" s="103"/>
      <c r="E42" s="103"/>
      <c r="F42" s="104"/>
      <c r="G42" s="9">
        <v>132768.24176592001</v>
      </c>
      <c r="H42" s="14" t="s">
        <v>3</v>
      </c>
      <c r="I42" s="1"/>
    </row>
    <row r="43" spans="1:9" x14ac:dyDescent="0.25">
      <c r="A43" s="1"/>
      <c r="B43" s="102" t="s">
        <v>65</v>
      </c>
      <c r="C43" s="103"/>
      <c r="D43" s="103"/>
      <c r="E43" s="103"/>
      <c r="F43" s="104"/>
      <c r="G43" s="22">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8" t="s">
        <v>160</v>
      </c>
      <c r="C46" s="109"/>
      <c r="D46" s="109"/>
      <c r="E46" s="109"/>
      <c r="F46" s="109"/>
      <c r="G46" s="109"/>
      <c r="H46" s="110"/>
      <c r="I46" s="1"/>
    </row>
    <row r="47" spans="1:9" x14ac:dyDescent="0.25">
      <c r="A47" s="1"/>
      <c r="B47" s="102" t="s">
        <v>114</v>
      </c>
      <c r="C47" s="103"/>
      <c r="D47" s="103"/>
      <c r="E47" s="103"/>
      <c r="F47" s="104"/>
      <c r="G47" s="22">
        <f>(G41+G42-G43)*(1+'Fane 13. Nøgletal'!C15)</f>
        <v>6393193.3053948199</v>
      </c>
      <c r="H47" s="14" t="s">
        <v>3</v>
      </c>
      <c r="I47" s="1"/>
    </row>
    <row r="48" spans="1:9" x14ac:dyDescent="0.25">
      <c r="A48" s="1"/>
      <c r="B48" s="102" t="s">
        <v>210</v>
      </c>
      <c r="C48" s="103"/>
      <c r="D48" s="103"/>
      <c r="E48" s="103"/>
      <c r="F48" s="104"/>
      <c r="G48" s="22">
        <f>('Fane 2.1. Økonomisk ramme 2024'!C10+'Fane 2.1. Økonomisk ramme 2024'!C12+'Fane 2.1. Økonomisk ramme 2024'!C14)*(1+'Fane 13. Nøgletal'!C16)</f>
        <v>47018.345888639997</v>
      </c>
      <c r="H48" s="14" t="s">
        <v>3</v>
      </c>
      <c r="I48" s="1"/>
    </row>
    <row r="49" spans="1:9" x14ac:dyDescent="0.25">
      <c r="A49" s="1"/>
      <c r="B49" s="102" t="s">
        <v>211</v>
      </c>
      <c r="C49" s="103"/>
      <c r="D49" s="103"/>
      <c r="E49" s="103"/>
      <c r="F49" s="104"/>
      <c r="G49" s="22">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8" t="s">
        <v>130</v>
      </c>
      <c r="C52" s="109"/>
      <c r="D52" s="109"/>
      <c r="E52" s="109"/>
      <c r="F52" s="109"/>
      <c r="G52" s="109"/>
      <c r="H52" s="110"/>
      <c r="I52" s="1"/>
    </row>
    <row r="53" spans="1:9" x14ac:dyDescent="0.25">
      <c r="A53" s="1"/>
      <c r="B53" s="102" t="s">
        <v>131</v>
      </c>
      <c r="C53" s="103"/>
      <c r="D53" s="103"/>
      <c r="E53" s="103"/>
      <c r="F53" s="104"/>
      <c r="G53" s="22">
        <f>(G47+G48-G49)*(1+'Fane 13. Nøgletal'!C16)</f>
        <v>6960580.7527071629</v>
      </c>
      <c r="H53" s="14" t="s">
        <v>3</v>
      </c>
      <c r="I53" s="1"/>
    </row>
    <row r="54" spans="1:9" x14ac:dyDescent="0.25">
      <c r="A54" s="1"/>
      <c r="B54" s="102" t="s">
        <v>132</v>
      </c>
      <c r="C54" s="103"/>
      <c r="D54" s="103"/>
      <c r="E54" s="103"/>
      <c r="F54" s="104"/>
      <c r="G54" s="22">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8" t="s">
        <v>147</v>
      </c>
      <c r="C57" s="109"/>
      <c r="D57" s="109"/>
      <c r="E57" s="109"/>
      <c r="F57" s="109"/>
      <c r="G57" s="109"/>
      <c r="H57" s="110"/>
      <c r="I57" s="1"/>
    </row>
    <row r="58" spans="1:9" x14ac:dyDescent="0.25">
      <c r="A58" s="1"/>
      <c r="B58" s="102" t="s">
        <v>148</v>
      </c>
      <c r="C58" s="103"/>
      <c r="D58" s="103"/>
      <c r="E58" s="103"/>
      <c r="F58" s="104"/>
      <c r="G58" s="22">
        <f>(G53-G54)*(1+'Fane 13. Nøgletal'!C16)</f>
        <v>7522995.6775259012</v>
      </c>
      <c r="H58" s="14" t="s">
        <v>3</v>
      </c>
      <c r="I58" s="1"/>
    </row>
    <row r="59" spans="1:9" x14ac:dyDescent="0.25">
      <c r="A59" s="1"/>
      <c r="B59" s="102" t="s">
        <v>149</v>
      </c>
      <c r="C59" s="103"/>
      <c r="D59" s="103"/>
      <c r="E59" s="103"/>
      <c r="F59" s="104"/>
      <c r="G59" s="22">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8" t="s">
        <v>223</v>
      </c>
      <c r="C62" s="109"/>
      <c r="D62" s="109"/>
      <c r="E62" s="109"/>
      <c r="F62" s="109"/>
      <c r="G62" s="109"/>
      <c r="H62" s="110"/>
      <c r="I62" s="1"/>
    </row>
    <row r="63" spans="1:9" x14ac:dyDescent="0.25">
      <c r="A63" s="1"/>
      <c r="B63" s="102" t="s">
        <v>224</v>
      </c>
      <c r="C63" s="103"/>
      <c r="D63" s="103"/>
      <c r="E63" s="103"/>
      <c r="F63" s="104"/>
      <c r="G63" s="22">
        <f>(G58-G59)*(1+'Fane 13. Nøgletal'!C16)</f>
        <v>8130853.7282699943</v>
      </c>
      <c r="H63" s="14" t="s">
        <v>3</v>
      </c>
      <c r="I63" s="1"/>
    </row>
    <row r="64" spans="1:9" x14ac:dyDescent="0.25">
      <c r="A64" s="1"/>
      <c r="B64" s="102" t="s">
        <v>225</v>
      </c>
      <c r="C64" s="103"/>
      <c r="D64" s="103"/>
      <c r="E64" s="103"/>
      <c r="F64" s="104"/>
      <c r="G64" s="22">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CFiTdbLN+hafxvV+GdmvhWPbGkBoASSAP9OYQEiR7XX9fw1IhppExhm2yopkwec2eNLLgOQNHMtrNADAj7+KcA==" saltValue="/992GmnpggQHiTn8oFJvHA=="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8" t="s">
        <v>9</v>
      </c>
      <c r="C8" s="109"/>
      <c r="D8" s="109"/>
      <c r="E8" s="109"/>
      <c r="F8" s="109"/>
      <c r="G8" s="110"/>
      <c r="H8" s="1"/>
    </row>
    <row r="9" spans="1:8" x14ac:dyDescent="0.25">
      <c r="A9" s="1"/>
      <c r="B9" s="69" t="s">
        <v>150</v>
      </c>
      <c r="C9" s="70"/>
      <c r="D9" s="70"/>
      <c r="E9" s="70"/>
      <c r="F9" s="71"/>
      <c r="G9" s="64">
        <v>6.2740357399889901E-3</v>
      </c>
      <c r="H9" s="1"/>
    </row>
    <row r="10" spans="1:8" x14ac:dyDescent="0.25">
      <c r="A10" s="1"/>
      <c r="B10" s="51"/>
      <c r="C10" s="52"/>
      <c r="D10" s="52"/>
      <c r="E10" s="52"/>
      <c r="F10" s="52"/>
      <c r="G10" s="19"/>
      <c r="H10" s="1"/>
    </row>
    <row r="11" spans="1:8" ht="15" customHeight="1" x14ac:dyDescent="0.25">
      <c r="A11" s="1"/>
      <c r="B11" s="114" t="s">
        <v>236</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ouOzU2Y3C2CCn80fo6DLuW3b5a7NV0JU7ePesprUGVfjqUMQQTaFUIrVgb0l0Pg4yp6INnPLbF/6loSBgkbTrQ==" saltValue="KXzxuhERl+D56n8nlscg9A=="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2024-02-09T15:32:19Z</dcterms:modified>
</cp:coreProperties>
</file>