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Gladsaxe AS (V065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C30" i="2" s="1"/>
  <c r="E37" i="32" l="1"/>
  <c r="C15" i="19"/>
  <c r="C23" i="23" l="1"/>
  <c r="C23" i="22"/>
  <c r="C24" i="15"/>
  <c r="C11" i="29"/>
  <c r="C12" i="29" s="1"/>
  <c r="G30" i="30"/>
  <c r="C11" i="2" l="1"/>
  <c r="G36" i="36" s="1"/>
  <c r="C10" i="2"/>
  <c r="G36" i="30" s="1"/>
  <c r="E10" i="11" l="1"/>
  <c r="G6" i="30" l="1"/>
  <c r="G10" i="30" s="1"/>
  <c r="E32" i="21" l="1"/>
  <c r="E33" i="21" s="1"/>
  <c r="G55" i="36" s="1"/>
  <c r="C32" i="21"/>
  <c r="C33" i="21" s="1"/>
  <c r="G55" i="30" s="1"/>
  <c r="E25" i="21"/>
  <c r="E26" i="21" s="1"/>
  <c r="G49" i="36" s="1"/>
  <c r="C25" i="21"/>
  <c r="C26" i="21" s="1"/>
  <c r="G49" i="30" s="1"/>
  <c r="E18" i="21"/>
  <c r="E19" i="21" s="1"/>
  <c r="G43" i="36" s="1"/>
  <c r="C18" i="21"/>
  <c r="C19" i="21" s="1"/>
  <c r="G43" i="30" s="1"/>
  <c r="C11" i="15" l="1"/>
  <c r="C10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E38" i="39"/>
  <c r="C20" i="23" s="1"/>
  <c r="E14" i="39"/>
  <c r="C27" i="2" s="1"/>
  <c r="E22" i="39"/>
  <c r="C21" i="15" s="1"/>
  <c r="C19" i="23"/>
  <c r="C19" i="22"/>
  <c r="C20" i="22"/>
  <c r="C20" i="15"/>
  <c r="C26" i="2"/>
  <c r="C21" i="22" l="1"/>
  <c r="C21" i="23"/>
  <c r="C22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1" i="11"/>
  <c r="G11" i="11"/>
  <c r="C10" i="37" l="1"/>
  <c r="C13" i="37" s="1"/>
  <c r="C14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8" i="15"/>
  <c r="G37" i="30"/>
  <c r="G38" i="30" s="1"/>
  <c r="E11" i="11"/>
  <c r="E10" i="37" l="1"/>
  <c r="E13" i="37" s="1"/>
  <c r="E14" i="37" s="1"/>
  <c r="C13" i="2" s="1"/>
  <c r="G37" i="36" s="1"/>
  <c r="G38" i="36" l="1"/>
  <c r="G42" i="36" s="1"/>
  <c r="G44" i="36" s="1"/>
  <c r="C20" i="2"/>
  <c r="G42" i="30" l="1"/>
  <c r="G44" i="30" s="1"/>
  <c r="C14" i="15" s="1"/>
  <c r="E20" i="27"/>
  <c r="E31" i="27" s="1"/>
  <c r="C9" i="2" l="1"/>
  <c r="C18" i="2" s="1"/>
  <c r="C19" i="2" s="1"/>
  <c r="G48" i="30"/>
  <c r="G50" i="30" s="1"/>
  <c r="C21" i="2"/>
  <c r="C15" i="15"/>
  <c r="C22" i="2" l="1"/>
  <c r="G54" i="30"/>
  <c r="G56" i="30" s="1"/>
  <c r="C13" i="23" s="1"/>
  <c r="C13" i="22"/>
  <c r="G48" i="36"/>
  <c r="G50" i="36" s="1"/>
  <c r="C14" i="22" s="1"/>
  <c r="G54" i="36" l="1"/>
  <c r="G56" i="36" s="1"/>
  <c r="C14" i="23" s="1"/>
  <c r="C9" i="15"/>
  <c r="C12" i="15" l="1"/>
  <c r="C13" i="15" s="1"/>
  <c r="C16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7" i="15" l="1"/>
</calcChain>
</file>

<file path=xl/sharedStrings.xml><?xml version="1.0" encoding="utf-8"?>
<sst xmlns="http://schemas.openxmlformats.org/spreadsheetml/2006/main" count="625" uniqueCount="256">
  <si>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</si>
  <si>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</si>
  <si>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</si>
  <si>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</si>
  <si>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</si>
  <si>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</si>
  <si>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</si>
  <si>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</si>
  <si>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</si>
  <si>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</si>
  <si>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</si>
  <si>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</si>
  <si>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</si>
  <si>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</si>
  <si>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</si>
  <si>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</si>
  <si>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</si>
  <si>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</si>
  <si>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</si>
  <si>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</si>
  <si>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</si>
  <si>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</si>
  <si>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</si>
  <si>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</si>
  <si>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</si>
  <si>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</si>
  <si>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</si>
  <si>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</si>
  <si>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</si>
  <si>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</si>
  <si>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</si>
  <si>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</si>
  <si>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</si>
  <si>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</si>
  <si>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</si>
  <si>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</si>
  <si>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</si>
  <si>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</si>
  <si>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</si>
  <si>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</si>
  <si>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</si>
  <si>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</si>
  <si>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</si>
  <si>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</si>
  <si>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</si>
  <si>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</si>
  <si>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</si>
  <si>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</si>
  <si>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</si>
  <si>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</si>
  <si>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</si>
  <si>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</si>
  <si>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</si>
  <si>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</si>
  <si>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</si>
  <si>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</si>
  <si>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</si>
  <si>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</si>
  <si>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</si>
  <si>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</si>
  <si>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</si>
  <si>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</si>
  <si>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</si>
  <si>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</si>
  <si>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</si>
  <si>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</si>
  <si>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</si>
  <si>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</si>
  <si>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</si>
  <si>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</si>
  <si>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</si>
  <si>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</si>
  <si>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</si>
  <si>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</si>
  <si>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</si>
  <si>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</si>
  <si>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</si>
  <si>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</si>
  <si>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</si>
  <si>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</si>
  <si>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</si>
  <si>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</si>
  <si>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</si>
  <si>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</si>
  <si>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</si>
  <si>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</si>
  <si>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</si>
  <si>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</si>
  <si>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</si>
  <si>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</si>
  <si>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</si>
  <si>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</si>
  <si>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</si>
  <si>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</si>
  <si>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</si>
  <si>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</si>
  <si>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</si>
  <si>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</si>
  <si>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</si>
  <si>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</si>
  <si>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</si>
  <si>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</si>
  <si>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</si>
  <si>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</si>
  <si>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</si>
  <si>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</si>
  <si>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</si>
  <si>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</si>
  <si>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</si>
  <si>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</si>
  <si>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</si>
  <si>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</si>
  <si>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</si>
  <si>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</si>
  <si>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</si>
  <si>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</si>
  <si>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</si>
  <si>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</si>
  <si>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</si>
  <si>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</si>
  <si>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</si>
  <si>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</si>
  <si>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</si>
  <si>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</si>
  <si>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</si>
  <si>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</si>
  <si>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</si>
  <si>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</si>
  <si>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</si>
  <si>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</si>
  <si>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</si>
  <si>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</si>
  <si>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</si>
  <si>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</si>
  <si>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</si>
  <si>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</si>
  <si>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</si>
  <si>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</si>
  <si>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</si>
  <si>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</si>
  <si>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</si>
  <si>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</si>
  <si>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</si>
  <si>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</si>
  <si>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</si>
  <si>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</si>
  <si>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</si>
  <si>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</si>
  <si>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</si>
  <si>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</si>
  <si>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</si>
  <si>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</si>
  <si>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</si>
  <si>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</si>
  <si>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</si>
  <si>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</si>
  <si>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</si>
  <si>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</si>
  <si>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</si>
  <si>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</si>
  <si>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</si>
  <si>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</si>
  <si>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</si>
  <si>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</si>
  <si>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</si>
  <si>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</si>
  <si>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</si>
  <si>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</si>
  <si>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</si>
  <si>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</si>
  <si>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</si>
  <si>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</si>
  <si>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</si>
  <si>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</si>
  <si>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</si>
  <si>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</si>
  <si>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</si>
  <si>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</si>
  <si>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</si>
  <si>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</si>
  <si>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Til økonomiske rammer for 2022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</si>
  <si>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</si>
  <si>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</si>
  <si>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</si>
  <si>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</si>
  <si>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</si>
  <si>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</si>
  <si>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</si>
  <si>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</si>
  <si>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</si>
  <si>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</si>
  <si>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</si>
  <si>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</si>
  <si>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</si>
  <si>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</si>
  <si>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</si>
  <si>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</si>
  <si>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</si>
  <si>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</si>
  <si>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</si>
  <si>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</si>
  <si>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</si>
  <si>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</si>
  <si>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</si>
  <si>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</si>
  <si>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</si>
  <si>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</si>
  <si>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</si>
  <si>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</si>
  <si>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</si>
  <si>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</si>
  <si>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</si>
  <si>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</si>
  <si>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</si>
  <si>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</si>
  <si>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</si>
  <si>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</si>
  <si>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</si>
  <si>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</si>
  <si>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</si>
  <si>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</si>
  <si>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</si>
  <si>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</si>
  <si>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</si>
  <si>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</si>
  <si>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</si>
  <si>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</si>
  <si>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Fjernaflæsning, pesticider og DMS</t>
  </si>
  <si>
    <t>Nye stik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</si>
  <si>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</si>
  <si>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</si>
  <si>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</si>
  <si>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</si>
  <si>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</si>
  <si>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</si>
  <si>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engangstillæg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</si>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</sst>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40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165" fontId="8" fillId="4" borderId="1" xfId="1" applyNumberFormat="1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4" t="s">
        <v>4</v>
      </c>
      <c r="E6" s="74"/>
      <c r="F6" s="74"/>
      <c r="G6" s="74"/>
      <c r="H6" s="3"/>
      <c r="I6" s="1"/>
    </row>
    <row r="7" spans="1:9" ht="15" customHeight="1" x14ac:dyDescent="0.25">
      <c r="A7" s="1"/>
      <c r="B7" s="1"/>
      <c r="C7" s="3"/>
      <c r="D7" s="74"/>
      <c r="E7" s="74"/>
      <c r="F7" s="74"/>
      <c r="G7" s="74"/>
      <c r="H7" s="3"/>
      <c r="I7" s="1"/>
    </row>
    <row r="8" spans="1:9" ht="15.75" x14ac:dyDescent="0.25">
      <c r="A8" s="1"/>
      <c r="B8" s="1"/>
      <c r="C8" s="4"/>
      <c r="D8" s="79" t="s">
        <v>180</v>
      </c>
      <c r="E8" s="79"/>
      <c r="F8" s="79"/>
      <c r="G8" s="7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8" t="s">
        <v>5</v>
      </c>
      <c r="E11" s="78"/>
      <c r="F11" s="78"/>
      <c r="G11" s="7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1" t="s">
        <v>163</v>
      </c>
      <c r="E13" s="72"/>
      <c r="F13" s="72"/>
      <c r="G13" s="73"/>
      <c r="H13" s="1"/>
      <c r="I13" s="1"/>
    </row>
    <row r="14" spans="1:9" x14ac:dyDescent="0.25">
      <c r="A14" s="1"/>
      <c r="B14" s="1"/>
      <c r="C14" s="6" t="s">
        <v>15</v>
      </c>
      <c r="D14" s="71" t="s">
        <v>83</v>
      </c>
      <c r="E14" s="72"/>
      <c r="F14" s="72"/>
      <c r="G14" s="73"/>
      <c r="H14" s="1"/>
      <c r="I14" s="1"/>
    </row>
    <row r="15" spans="1:9" x14ac:dyDescent="0.25">
      <c r="A15" s="1"/>
      <c r="B15" s="1"/>
      <c r="C15" s="6" t="s">
        <v>35</v>
      </c>
      <c r="D15" s="71" t="s">
        <v>128</v>
      </c>
      <c r="E15" s="72"/>
      <c r="F15" s="72"/>
      <c r="G15" s="73"/>
      <c r="H15" s="1"/>
      <c r="I15" s="1"/>
    </row>
    <row r="16" spans="1:9" x14ac:dyDescent="0.25">
      <c r="A16" s="1"/>
      <c r="B16" s="1"/>
      <c r="C16" s="6" t="s">
        <v>36</v>
      </c>
      <c r="D16" s="71" t="s">
        <v>181</v>
      </c>
      <c r="E16" s="72"/>
      <c r="F16" s="72"/>
      <c r="G16" s="73"/>
      <c r="H16" s="1"/>
      <c r="I16" s="1"/>
    </row>
    <row r="17" spans="1:9" x14ac:dyDescent="0.25">
      <c r="A17" s="1"/>
      <c r="B17" s="1"/>
      <c r="C17" s="6" t="s">
        <v>127</v>
      </c>
      <c r="D17" s="71" t="s">
        <v>182</v>
      </c>
      <c r="E17" s="72"/>
      <c r="F17" s="72"/>
      <c r="G17" s="73"/>
      <c r="H17" s="1"/>
      <c r="I17" s="1"/>
    </row>
    <row r="18" spans="1:9" x14ac:dyDescent="0.25">
      <c r="A18" s="1"/>
      <c r="B18" s="1"/>
      <c r="C18" s="32" t="s">
        <v>111</v>
      </c>
      <c r="D18" s="80" t="s">
        <v>100</v>
      </c>
      <c r="E18" s="81"/>
      <c r="F18" s="81"/>
      <c r="G18" s="82"/>
      <c r="H18" s="1"/>
      <c r="I18" s="1"/>
    </row>
    <row r="19" spans="1:9" x14ac:dyDescent="0.25">
      <c r="A19" s="1"/>
      <c r="B19" s="1"/>
      <c r="C19" s="32" t="s">
        <v>112</v>
      </c>
      <c r="D19" s="80" t="s">
        <v>101</v>
      </c>
      <c r="E19" s="81"/>
      <c r="F19" s="81"/>
      <c r="G19" s="82"/>
      <c r="H19" s="1"/>
      <c r="I19" s="1"/>
    </row>
    <row r="20" spans="1:9" x14ac:dyDescent="0.25">
      <c r="A20" s="1"/>
      <c r="B20" s="1"/>
      <c r="C20" s="32" t="s">
        <v>7</v>
      </c>
      <c r="D20" s="80" t="s">
        <v>9</v>
      </c>
      <c r="E20" s="81"/>
      <c r="F20" s="81"/>
      <c r="G20" s="82"/>
      <c r="H20" s="1"/>
      <c r="I20" s="1"/>
    </row>
    <row r="21" spans="1:9" x14ac:dyDescent="0.25">
      <c r="A21" s="1"/>
      <c r="B21" s="1"/>
      <c r="C21" s="6" t="s">
        <v>113</v>
      </c>
      <c r="D21" s="86" t="s">
        <v>12</v>
      </c>
      <c r="E21" s="87"/>
      <c r="F21" s="87"/>
      <c r="G21" s="88"/>
      <c r="H21" s="1"/>
      <c r="I21" s="1"/>
    </row>
    <row r="22" spans="1:9" x14ac:dyDescent="0.25">
      <c r="A22" s="1"/>
      <c r="B22" s="1"/>
      <c r="C22" s="6" t="s">
        <v>87</v>
      </c>
      <c r="D22" s="75" t="s">
        <v>183</v>
      </c>
      <c r="E22" s="76"/>
      <c r="F22" s="76"/>
      <c r="G22" s="77"/>
      <c r="H22" s="1"/>
      <c r="I22" s="1"/>
    </row>
    <row r="23" spans="1:9" x14ac:dyDescent="0.25">
      <c r="A23" s="1"/>
      <c r="B23" s="1"/>
      <c r="C23" s="6" t="s">
        <v>8</v>
      </c>
      <c r="D23" s="75" t="s">
        <v>37</v>
      </c>
      <c r="E23" s="76"/>
      <c r="F23" s="76"/>
      <c r="G23" s="77"/>
      <c r="H23" s="1"/>
      <c r="I23" s="1"/>
    </row>
    <row r="24" spans="1:9" x14ac:dyDescent="0.25">
      <c r="A24" s="1"/>
      <c r="B24" s="1"/>
      <c r="C24" s="6" t="s">
        <v>170</v>
      </c>
      <c r="D24" s="75" t="s">
        <v>88</v>
      </c>
      <c r="E24" s="76"/>
      <c r="F24" s="76"/>
      <c r="G24" s="77"/>
      <c r="H24" s="1"/>
      <c r="I24" s="1"/>
    </row>
    <row r="25" spans="1:9" x14ac:dyDescent="0.25">
      <c r="A25" s="1"/>
      <c r="B25" s="1"/>
      <c r="C25" s="6" t="s">
        <v>171</v>
      </c>
      <c r="D25" s="75" t="s">
        <v>89</v>
      </c>
      <c r="E25" s="76"/>
      <c r="F25" s="76"/>
      <c r="G25" s="77"/>
      <c r="H25" s="1"/>
      <c r="I25" s="1"/>
    </row>
    <row r="26" spans="1:9" x14ac:dyDescent="0.25">
      <c r="A26" s="1"/>
      <c r="B26" s="1"/>
      <c r="C26" s="6" t="s">
        <v>172</v>
      </c>
      <c r="D26" s="75" t="s">
        <v>129</v>
      </c>
      <c r="E26" s="76"/>
      <c r="F26" s="76"/>
      <c r="G26" s="77"/>
      <c r="H26" s="1"/>
      <c r="I26" s="1"/>
    </row>
    <row r="27" spans="1:9" x14ac:dyDescent="0.25">
      <c r="A27" s="1"/>
      <c r="B27" s="1"/>
      <c r="C27" s="6" t="s">
        <v>114</v>
      </c>
      <c r="D27" s="75" t="s">
        <v>38</v>
      </c>
      <c r="E27" s="76"/>
      <c r="F27" s="76"/>
      <c r="G27" s="77"/>
      <c r="H27" s="1"/>
      <c r="I27" s="1"/>
    </row>
    <row r="28" spans="1:9" x14ac:dyDescent="0.25">
      <c r="A28" s="1"/>
      <c r="B28" s="1"/>
      <c r="C28" s="6" t="s">
        <v>108</v>
      </c>
      <c r="D28" s="83" t="s">
        <v>109</v>
      </c>
      <c r="E28" s="84"/>
      <c r="F28" s="84"/>
      <c r="G28" s="85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fDQe5u41Ec41p9PAPki+3ecFDsmWDbsLKYhtKK2ULOR04lorx2ktodYk1xXRH1agfEQoeA6I3mJG5D9osSGhuQ==" saltValue="QeLrPe6DoACRNi+DboLC/g==" spinCount="100000" sheet="1" objects="1" scenarios="1"/>
  <mergeCells count="19">
    <mergeCell ref="D27:G27"/>
    <mergeCell ref="D28:G28"/>
    <mergeCell ref="D21:G21"/>
    <mergeCell ref="D23:G23"/>
    <mergeCell ref="D24:G24"/>
    <mergeCell ref="D26:G26"/>
    <mergeCell ref="D25:G25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89" t="s">
        <v>117</v>
      </c>
      <c r="C3" s="89"/>
      <c r="D3" s="89"/>
      <c r="E3" s="1"/>
      <c r="F3" s="1"/>
    </row>
    <row r="4" spans="1:6" ht="15" customHeight="1" x14ac:dyDescent="0.25">
      <c r="A4" s="1"/>
      <c r="B4" s="89"/>
      <c r="C4" s="89"/>
      <c r="D4" s="89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115" t="s">
        <v>203</v>
      </c>
      <c r="C8" s="116"/>
      <c r="D8" s="117"/>
      <c r="E8" s="1"/>
      <c r="F8" s="1"/>
    </row>
    <row r="9" spans="1:6" ht="15" customHeight="1" x14ac:dyDescent="0.25">
      <c r="A9" s="1"/>
      <c r="B9" s="52" t="s">
        <v>33</v>
      </c>
      <c r="C9" s="11" t="s">
        <v>204</v>
      </c>
      <c r="D9" s="11"/>
      <c r="E9" s="1"/>
      <c r="F9" s="1"/>
    </row>
    <row r="10" spans="1:6" ht="15" customHeight="1" x14ac:dyDescent="0.25">
      <c r="A10" s="1"/>
      <c r="B10" s="63" t="s">
        <v>230</v>
      </c>
      <c r="C10" s="9">
        <v>20486406</v>
      </c>
      <c r="D10" s="14" t="s">
        <v>3</v>
      </c>
      <c r="E10" s="1"/>
      <c r="F10" s="1"/>
    </row>
    <row r="11" spans="1:6" ht="15" customHeight="1" x14ac:dyDescent="0.25">
      <c r="A11" s="1"/>
      <c r="B11" s="63" t="s">
        <v>231</v>
      </c>
      <c r="C11" s="9">
        <v>104291</v>
      </c>
      <c r="D11" s="14" t="s">
        <v>3</v>
      </c>
      <c r="E11" s="1"/>
      <c r="F11" s="1"/>
    </row>
    <row r="12" spans="1:6" x14ac:dyDescent="0.25">
      <c r="A12" s="1"/>
      <c r="B12" s="63" t="s">
        <v>232</v>
      </c>
      <c r="C12" s="9">
        <v>12651559</v>
      </c>
      <c r="D12" s="14" t="s">
        <v>3</v>
      </c>
      <c r="E12" s="1"/>
      <c r="F12" s="1"/>
    </row>
    <row r="13" spans="1:6" x14ac:dyDescent="0.25">
      <c r="A13" s="1"/>
      <c r="B13" s="63" t="s">
        <v>233</v>
      </c>
      <c r="C13" s="9">
        <v>171035</v>
      </c>
      <c r="D13" s="14" t="s">
        <v>3</v>
      </c>
      <c r="E13" s="1"/>
      <c r="F13" s="1"/>
    </row>
    <row r="14" spans="1:6" x14ac:dyDescent="0.25">
      <c r="A14" s="1"/>
      <c r="B14" s="63" t="s">
        <v>234</v>
      </c>
      <c r="C14" s="9">
        <v>2079700</v>
      </c>
      <c r="D14" s="14" t="s">
        <v>3</v>
      </c>
      <c r="E14" s="1"/>
      <c r="F14" s="1"/>
    </row>
    <row r="15" spans="1:6" x14ac:dyDescent="0.25">
      <c r="A15" s="1"/>
      <c r="B15" s="55" t="s">
        <v>205</v>
      </c>
      <c r="C15" s="12">
        <f>SUM(C10:C14)</f>
        <v>35492991</v>
      </c>
      <c r="D15" s="13" t="s">
        <v>3</v>
      </c>
      <c r="E15" s="1"/>
      <c r="F15" s="1"/>
    </row>
    <row r="16" spans="1:6" x14ac:dyDescent="0.25">
      <c r="A16" s="1"/>
      <c r="B16" s="55" t="s">
        <v>206</v>
      </c>
      <c r="C16" s="12">
        <f>C15*(1+'Fane 12. Nøgletal'!C14)^2</f>
        <v>35727631.259271994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pLdPo9b8F+lEt6t76+LpwJSYiJJkQVUqmF1FDl3gd3jAFYfNIDoxW/1op5rjcWF2ZHhbFDOdWNsE6mhAwQVCsA==" saltValue="vuzmJinTJA4+lQ1Wlz/II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108" t="s">
        <v>221</v>
      </c>
      <c r="C3" s="108"/>
      <c r="D3" s="108"/>
      <c r="E3" s="108"/>
      <c r="F3" s="108"/>
      <c r="G3" s="1"/>
    </row>
    <row r="4" spans="1:7" ht="15" customHeight="1" x14ac:dyDescent="0.25">
      <c r="A4" s="1"/>
      <c r="B4" s="108"/>
      <c r="C4" s="108"/>
      <c r="D4" s="108"/>
      <c r="E4" s="108"/>
      <c r="F4" s="108"/>
      <c r="G4" s="1"/>
    </row>
    <row r="5" spans="1:7" ht="15" customHeight="1" x14ac:dyDescent="0.25">
      <c r="A5" s="1"/>
      <c r="B5" s="50"/>
      <c r="C5" s="50"/>
      <c r="D5" s="50"/>
      <c r="E5" s="50"/>
      <c r="F5" s="50"/>
      <c r="G5" s="1"/>
    </row>
    <row r="6" spans="1:7" ht="15" customHeight="1" x14ac:dyDescent="0.25">
      <c r="A6" s="1"/>
      <c r="B6" s="50"/>
      <c r="C6" s="50"/>
      <c r="D6" s="50"/>
      <c r="E6" s="50"/>
      <c r="F6" s="50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237</v>
      </c>
      <c r="C8" s="116"/>
      <c r="D8" s="116"/>
      <c r="E8" s="116"/>
      <c r="F8" s="117"/>
      <c r="G8" s="1"/>
    </row>
    <row r="9" spans="1:7" x14ac:dyDescent="0.25">
      <c r="A9" s="1"/>
      <c r="B9" s="112" t="s">
        <v>238</v>
      </c>
      <c r="C9" s="113"/>
      <c r="D9" s="114"/>
      <c r="E9" s="9">
        <v>2921393.3261716515</v>
      </c>
      <c r="F9" s="14" t="s">
        <v>3</v>
      </c>
      <c r="G9" s="1"/>
    </row>
    <row r="10" spans="1:7" x14ac:dyDescent="0.25">
      <c r="A10" s="1"/>
      <c r="B10" s="112" t="s">
        <v>239</v>
      </c>
      <c r="C10" s="113"/>
      <c r="D10" s="114"/>
      <c r="E10" s="9">
        <v>1918091.2738538682</v>
      </c>
      <c r="F10" s="14" t="s">
        <v>3</v>
      </c>
      <c r="G10" s="1"/>
    </row>
    <row r="11" spans="1:7" x14ac:dyDescent="0.25">
      <c r="A11" s="1"/>
      <c r="B11" s="112" t="s">
        <v>240</v>
      </c>
      <c r="C11" s="113"/>
      <c r="D11" s="114"/>
      <c r="E11" s="9">
        <v>-5636093.7862079218</v>
      </c>
      <c r="F11" s="14" t="s">
        <v>3</v>
      </c>
      <c r="G11" s="1"/>
    </row>
    <row r="12" spans="1:7" x14ac:dyDescent="0.25">
      <c r="A12" s="1"/>
      <c r="B12" s="112" t="s">
        <v>241</v>
      </c>
      <c r="C12" s="113"/>
      <c r="D12" s="114"/>
      <c r="E12" s="9">
        <f>IF(OR(AND(E10&gt;0,E11&lt;0),AND(E11&lt;0,E34&gt;0)),E17+E18,E11)</f>
        <v>-1732559.8665034981</v>
      </c>
      <c r="F12" s="14" t="s">
        <v>3</v>
      </c>
      <c r="G12" s="1"/>
    </row>
    <row r="13" spans="1:7" x14ac:dyDescent="0.25">
      <c r="A13" s="1"/>
      <c r="B13" s="55"/>
      <c r="C13" s="56"/>
      <c r="D13" s="56"/>
      <c r="E13" s="56"/>
      <c r="F13" s="20"/>
      <c r="G13" s="1"/>
    </row>
    <row r="14" spans="1:7" ht="54.75" customHeight="1" x14ac:dyDescent="0.25">
      <c r="A14" s="1"/>
      <c r="B14" s="91" t="s">
        <v>242</v>
      </c>
      <c r="C14" s="92"/>
      <c r="D14" s="92"/>
      <c r="E14" s="92"/>
      <c r="F14" s="93"/>
      <c r="G14" s="1"/>
    </row>
    <row r="15" spans="1:7" ht="27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243</v>
      </c>
      <c r="C16" s="116"/>
      <c r="D16" s="116"/>
      <c r="E16" s="116"/>
      <c r="F16" s="117"/>
      <c r="G16" s="1"/>
    </row>
    <row r="17" spans="1:7" x14ac:dyDescent="0.25">
      <c r="A17" s="1"/>
      <c r="B17" s="112" t="s">
        <v>244</v>
      </c>
      <c r="C17" s="113"/>
      <c r="D17" s="114"/>
      <c r="E17" s="9">
        <v>-866279.93325174903</v>
      </c>
      <c r="F17" s="14" t="s">
        <v>3</v>
      </c>
      <c r="G17" s="1"/>
    </row>
    <row r="18" spans="1:7" x14ac:dyDescent="0.25">
      <c r="A18" s="1"/>
      <c r="B18" s="112" t="s">
        <v>245</v>
      </c>
      <c r="C18" s="113"/>
      <c r="D18" s="114"/>
      <c r="E18" s="9">
        <v>-866279.93325174903</v>
      </c>
      <c r="F18" s="14" t="s">
        <v>3</v>
      </c>
      <c r="G18" s="1"/>
    </row>
    <row r="19" spans="1:7" x14ac:dyDescent="0.25">
      <c r="A19" s="1"/>
      <c r="B19" s="55"/>
      <c r="C19" s="56"/>
      <c r="D19" s="56"/>
      <c r="E19" s="56"/>
      <c r="F19" s="20"/>
      <c r="G19" s="1"/>
    </row>
    <row r="20" spans="1:7" ht="30" customHeight="1" x14ac:dyDescent="0.25">
      <c r="A20" s="1"/>
      <c r="B20" s="91" t="s">
        <v>246</v>
      </c>
      <c r="C20" s="92"/>
      <c r="D20" s="92"/>
      <c r="E20" s="92"/>
      <c r="F20" s="93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57" t="s">
        <v>207</v>
      </c>
      <c r="C22" s="58"/>
      <c r="D22" s="58"/>
      <c r="E22" s="58"/>
      <c r="F22" s="59"/>
      <c r="G22" s="1"/>
    </row>
    <row r="23" spans="1:7" x14ac:dyDescent="0.25">
      <c r="A23" s="1"/>
      <c r="B23" s="60" t="s">
        <v>208</v>
      </c>
      <c r="C23" s="61"/>
      <c r="D23" s="62"/>
      <c r="E23" s="9">
        <v>59963443.990226239</v>
      </c>
      <c r="F23" s="14" t="s">
        <v>3</v>
      </c>
      <c r="G23" s="1"/>
    </row>
    <row r="24" spans="1:7" x14ac:dyDescent="0.25">
      <c r="A24" s="1"/>
      <c r="B24" s="60" t="s">
        <v>209</v>
      </c>
      <c r="C24" s="61"/>
      <c r="D24" s="62"/>
      <c r="E24" s="9">
        <v>68123690</v>
      </c>
      <c r="F24" s="14" t="s">
        <v>3</v>
      </c>
      <c r="G24" s="1"/>
    </row>
    <row r="25" spans="1:7" x14ac:dyDescent="0.25">
      <c r="A25" s="1"/>
      <c r="B25" s="60" t="s">
        <v>34</v>
      </c>
      <c r="C25" s="61"/>
      <c r="D25" s="62"/>
      <c r="E25" s="9">
        <v>0</v>
      </c>
      <c r="F25" s="14" t="s">
        <v>3</v>
      </c>
      <c r="G25" s="1"/>
    </row>
    <row r="26" spans="1:7" x14ac:dyDescent="0.25">
      <c r="A26" s="1"/>
      <c r="B26" s="64" t="s">
        <v>253</v>
      </c>
      <c r="C26" s="65"/>
      <c r="D26" s="66"/>
      <c r="E26" s="45">
        <f>E23-(E24-E25)</f>
        <v>-8160246.009773761</v>
      </c>
      <c r="F26" s="17" t="s">
        <v>3</v>
      </c>
      <c r="G26" s="1"/>
    </row>
    <row r="27" spans="1:7" x14ac:dyDescent="0.25">
      <c r="A27" s="1"/>
      <c r="B27" s="55"/>
      <c r="C27" s="56"/>
      <c r="D27" s="56"/>
      <c r="E27" s="56"/>
      <c r="F27" s="20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247</v>
      </c>
      <c r="C29" s="116"/>
      <c r="D29" s="116"/>
      <c r="E29" s="116"/>
      <c r="F29" s="117"/>
      <c r="G29" s="1"/>
    </row>
    <row r="30" spans="1:7" x14ac:dyDescent="0.25">
      <c r="A30" s="1"/>
      <c r="B30" s="136" t="s">
        <v>248</v>
      </c>
      <c r="C30" s="137"/>
      <c r="D30" s="138"/>
      <c r="E30" s="46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-866279.93325174903</v>
      </c>
      <c r="F30" s="17" t="s">
        <v>3</v>
      </c>
      <c r="G30" s="1"/>
    </row>
    <row r="31" spans="1:7" x14ac:dyDescent="0.25">
      <c r="A31" s="1"/>
      <c r="B31" s="115"/>
      <c r="C31" s="116"/>
      <c r="D31" s="116"/>
      <c r="E31" s="116"/>
      <c r="F31" s="117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15" t="s">
        <v>249</v>
      </c>
      <c r="C33" s="116"/>
      <c r="D33" s="116"/>
      <c r="E33" s="116"/>
      <c r="F33" s="117"/>
      <c r="G33" s="1"/>
    </row>
    <row r="34" spans="1:7" x14ac:dyDescent="0.25">
      <c r="A34" s="1"/>
      <c r="B34" s="130" t="s">
        <v>254</v>
      </c>
      <c r="C34" s="131"/>
      <c r="D34" s="132"/>
      <c r="E34" s="9">
        <v>0</v>
      </c>
      <c r="F34" s="14"/>
      <c r="G34" s="1"/>
    </row>
    <row r="35" spans="1:7" x14ac:dyDescent="0.25">
      <c r="A35" s="1"/>
      <c r="B35" s="130" t="s">
        <v>161</v>
      </c>
      <c r="C35" s="131"/>
      <c r="D35" s="132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-8160246.009773761</v>
      </c>
      <c r="F35" s="14" t="s">
        <v>3</v>
      </c>
      <c r="G35" s="1"/>
    </row>
    <row r="36" spans="1:7" x14ac:dyDescent="0.25">
      <c r="A36" s="1"/>
      <c r="B36" s="130" t="s">
        <v>110</v>
      </c>
      <c r="C36" s="131"/>
      <c r="D36" s="132"/>
      <c r="E36" s="9">
        <v>4</v>
      </c>
      <c r="F36" s="14" t="s">
        <v>19</v>
      </c>
      <c r="G36" s="1"/>
    </row>
    <row r="37" spans="1:7" x14ac:dyDescent="0.25">
      <c r="A37" s="1"/>
      <c r="B37" s="139" t="s">
        <v>160</v>
      </c>
      <c r="C37" s="139"/>
      <c r="D37" s="139"/>
      <c r="E37" s="10">
        <f>E35/E36</f>
        <v>-2040061.5024434403</v>
      </c>
      <c r="F37" s="17" t="s">
        <v>3</v>
      </c>
      <c r="G37" s="1"/>
    </row>
    <row r="38" spans="1:7" x14ac:dyDescent="0.25">
      <c r="A38" s="1"/>
      <c r="B38" s="133"/>
      <c r="C38" s="134"/>
      <c r="D38" s="134"/>
      <c r="E38" s="134"/>
      <c r="F38" s="135"/>
      <c r="G38" s="1"/>
    </row>
    <row r="39" spans="1:7" ht="75" customHeight="1" x14ac:dyDescent="0.25">
      <c r="A39" s="1"/>
      <c r="B39" s="91" t="s">
        <v>252</v>
      </c>
      <c r="C39" s="92"/>
      <c r="D39" s="92"/>
      <c r="E39" s="92"/>
      <c r="F39" s="93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KwEGStUsPUiuiGostw3u2u3ZyS+pRNi8VoAfJbyUX4x/5uGiTeGoIT4ix1vQGvfFJMA8e0DYR6BakTGHbjxrLw==" saltValue="XhtSj+YGVeGL+JA/nxH9Gg==" spinCount="100000" sheet="1" objects="1" scenarios="1"/>
  <mergeCells count="21">
    <mergeCell ref="B36:D36"/>
    <mergeCell ref="B38:F38"/>
    <mergeCell ref="B39:F39"/>
    <mergeCell ref="B11:D11"/>
    <mergeCell ref="B12:D12"/>
    <mergeCell ref="B14:F14"/>
    <mergeCell ref="B16:F16"/>
    <mergeCell ref="B18:D18"/>
    <mergeCell ref="B20:F20"/>
    <mergeCell ref="B31:F31"/>
    <mergeCell ref="B33:F33"/>
    <mergeCell ref="B34:D34"/>
    <mergeCell ref="B35:D35"/>
    <mergeCell ref="B29:F29"/>
    <mergeCell ref="B30:D30"/>
    <mergeCell ref="B37:D37"/>
    <mergeCell ref="B3:F4"/>
    <mergeCell ref="B17:D17"/>
    <mergeCell ref="B9:D9"/>
    <mergeCell ref="B8:F8"/>
    <mergeCell ref="B10:D1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169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157</v>
      </c>
      <c r="C8" s="116"/>
      <c r="D8" s="116"/>
      <c r="E8" s="116"/>
      <c r="F8" s="116"/>
      <c r="G8" s="116"/>
      <c r="H8" s="117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49"/>
      <c r="I9" s="1"/>
    </row>
    <row r="10" spans="1:9" x14ac:dyDescent="0.25">
      <c r="A10" s="1"/>
      <c r="B10" s="68" t="s">
        <v>255</v>
      </c>
      <c r="C10" s="69">
        <v>0</v>
      </c>
      <c r="D10" s="9">
        <v>0</v>
      </c>
      <c r="E10" s="9">
        <f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115" t="s">
        <v>158</v>
      </c>
      <c r="C11" s="116"/>
      <c r="D11" s="11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tFUeT+YBOwZwlfxKE1hFPS9pGoTYuvMdJV4jqtYyWaG0C18wQqcdfJLKLtQab2TC6U3UZD/EIlu+fha8e3LOwg==" saltValue="Ahhk3ZFtVyq9/bBzRnuxm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168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84</v>
      </c>
      <c r="C8" s="56"/>
      <c r="D8" s="56"/>
      <c r="E8" s="56"/>
      <c r="F8" s="20"/>
      <c r="G8" s="1"/>
    </row>
    <row r="9" spans="1:7" ht="17.25" customHeight="1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39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37" t="s">
        <v>227</v>
      </c>
      <c r="C11" s="22">
        <v>649824</v>
      </c>
      <c r="D11" s="14" t="s">
        <v>3</v>
      </c>
      <c r="E11" s="9">
        <v>218622</v>
      </c>
      <c r="F11" s="14" t="s">
        <v>3</v>
      </c>
      <c r="G11" s="1"/>
    </row>
    <row r="12" spans="1:7" x14ac:dyDescent="0.25">
      <c r="A12" s="1"/>
      <c r="B12" s="25" t="s">
        <v>228</v>
      </c>
      <c r="C12" s="22">
        <v>76419</v>
      </c>
      <c r="D12" s="14" t="s">
        <v>3</v>
      </c>
      <c r="E12" s="9">
        <v>10492</v>
      </c>
      <c r="F12" s="14" t="s">
        <v>3</v>
      </c>
      <c r="G12" s="1"/>
    </row>
    <row r="13" spans="1:7" x14ac:dyDescent="0.25">
      <c r="A13" s="1"/>
      <c r="B13" s="55" t="s">
        <v>136</v>
      </c>
      <c r="C13" s="12">
        <f>SUM(C10:C12)</f>
        <v>726243</v>
      </c>
      <c r="D13" s="13" t="s">
        <v>3</v>
      </c>
      <c r="E13" s="12">
        <f>SUM(E10:E12)</f>
        <v>229114</v>
      </c>
      <c r="F13" s="13" t="s">
        <v>3</v>
      </c>
      <c r="G13" s="1"/>
    </row>
    <row r="14" spans="1:7" x14ac:dyDescent="0.25">
      <c r="A14" s="1"/>
      <c r="B14" s="55" t="s">
        <v>210</v>
      </c>
      <c r="C14" s="12">
        <f>C13*(1+'Fane 12. Nøgletal'!C14)</f>
        <v>728639.60190000001</v>
      </c>
      <c r="D14" s="13" t="s">
        <v>3</v>
      </c>
      <c r="E14" s="12">
        <f>E13*(1+'Fane 12. Nøgletal'!C14)</f>
        <v>229870.07620000001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3ynLGDfc4Qs3wAFjxfuHyZlTWvHiaYdtaU8DMMg94yiwQapmYpQZyCy9JO1843t8pbfbfIE2kvuztRRWaodXpg==" saltValue="UJsgQw8ztygDcp21hQW7p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167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102</v>
      </c>
      <c r="C8" s="116"/>
      <c r="D8" s="116"/>
      <c r="E8" s="116"/>
      <c r="F8" s="117"/>
      <c r="G8" s="1"/>
    </row>
    <row r="9" spans="1:7" x14ac:dyDescent="0.25">
      <c r="A9" s="1"/>
      <c r="B9" s="53" t="s">
        <v>16</v>
      </c>
      <c r="C9" s="53" t="s">
        <v>11</v>
      </c>
      <c r="D9" s="54"/>
      <c r="E9" s="53" t="s">
        <v>32</v>
      </c>
      <c r="F9" s="49"/>
      <c r="G9" s="1"/>
    </row>
    <row r="10" spans="1:7" x14ac:dyDescent="0.25">
      <c r="A10" s="1"/>
      <c r="B10" s="25" t="s">
        <v>235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211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25">
      <c r="A14" s="1"/>
      <c r="B14" s="55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15" t="s">
        <v>103</v>
      </c>
      <c r="C16" s="116"/>
      <c r="D16" s="116"/>
      <c r="E16" s="116"/>
      <c r="F16" s="117"/>
      <c r="G16" s="1"/>
    </row>
    <row r="17" spans="1:7" x14ac:dyDescent="0.25">
      <c r="A17" s="1"/>
      <c r="B17" s="53" t="s">
        <v>16</v>
      </c>
      <c r="C17" s="53" t="s">
        <v>11</v>
      </c>
      <c r="D17" s="54"/>
      <c r="E17" s="53" t="s">
        <v>32</v>
      </c>
      <c r="F17" s="49"/>
      <c r="G17" s="1"/>
    </row>
    <row r="18" spans="1:7" x14ac:dyDescent="0.25">
      <c r="A18" s="1"/>
      <c r="B18" s="25" t="s">
        <v>235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55" t="s">
        <v>211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25">
      <c r="A22" s="1"/>
      <c r="B22" s="55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15" t="s">
        <v>138</v>
      </c>
      <c r="C24" s="116"/>
      <c r="D24" s="116"/>
      <c r="E24" s="116"/>
      <c r="F24" s="117"/>
      <c r="G24" s="1"/>
    </row>
    <row r="25" spans="1:7" x14ac:dyDescent="0.25">
      <c r="A25" s="1"/>
      <c r="B25" s="53" t="s">
        <v>16</v>
      </c>
      <c r="C25" s="53" t="s">
        <v>11</v>
      </c>
      <c r="D25" s="54"/>
      <c r="E25" s="53" t="s">
        <v>32</v>
      </c>
      <c r="F25" s="49"/>
      <c r="G25" s="1"/>
    </row>
    <row r="26" spans="1:7" x14ac:dyDescent="0.25">
      <c r="A26" s="1"/>
      <c r="B26" s="25" t="s">
        <v>235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55" t="s">
        <v>211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25">
      <c r="A30" s="1"/>
      <c r="B30" s="55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15" t="s">
        <v>212</v>
      </c>
      <c r="C32" s="116"/>
      <c r="D32" s="116"/>
      <c r="E32" s="116"/>
      <c r="F32" s="117"/>
      <c r="G32" s="1"/>
    </row>
    <row r="33" spans="1:7" x14ac:dyDescent="0.25">
      <c r="A33" s="1"/>
      <c r="B33" s="53" t="s">
        <v>16</v>
      </c>
      <c r="C33" s="53" t="s">
        <v>11</v>
      </c>
      <c r="D33" s="54"/>
      <c r="E33" s="53" t="s">
        <v>32</v>
      </c>
      <c r="F33" s="49"/>
      <c r="G33" s="1"/>
    </row>
    <row r="34" spans="1:7" x14ac:dyDescent="0.25">
      <c r="A34" s="1"/>
      <c r="B34" s="25" t="s">
        <v>235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55" t="s">
        <v>211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25">
      <c r="A38" s="1"/>
      <c r="B38" s="55" t="s">
        <v>213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reINrJzVN8cEt1+M8hjOyP63EUjTaHXFblS3+ZFperLTfFxEJURj0tcrnqp7DbPgOIZiqC/zw0JCmi17QNZr4g==" saltValue="oGGPD8Rsrqd5aSymS1uEq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166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130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131</v>
      </c>
      <c r="C9" s="100" t="s">
        <v>11</v>
      </c>
      <c r="D9" s="102"/>
      <c r="E9" s="100" t="s">
        <v>32</v>
      </c>
      <c r="F9" s="102"/>
      <c r="G9" s="1"/>
    </row>
    <row r="10" spans="1:7" x14ac:dyDescent="0.25">
      <c r="A10" s="1"/>
      <c r="B10" s="25" t="s">
        <v>229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214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8h9edxsRNYAJ1Gx8eEL0mdkDS7BGFGNtNR+AMkb2aRhe47FCRPmW7kpcQfM1Z7lHFREKRH1NpB3AczjUpZkUCQ==" saltValue="w4bV5iQ68qwGvyxNUvRzC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165</v>
      </c>
      <c r="C3" s="108"/>
      <c r="D3" s="108"/>
      <c r="E3" s="108"/>
      <c r="F3" s="108"/>
      <c r="G3" s="1"/>
    </row>
    <row r="4" spans="1:7" ht="25.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15" t="s">
        <v>98</v>
      </c>
      <c r="C8" s="116"/>
      <c r="D8" s="116"/>
      <c r="E8" s="116"/>
      <c r="F8" s="117"/>
      <c r="G8" s="1"/>
    </row>
    <row r="9" spans="1:7" ht="15" customHeight="1" x14ac:dyDescent="0.25">
      <c r="A9" s="1"/>
      <c r="B9" s="48" t="s">
        <v>17</v>
      </c>
      <c r="C9" s="48" t="s">
        <v>11</v>
      </c>
      <c r="D9" s="49"/>
      <c r="E9" s="48" t="s">
        <v>32</v>
      </c>
      <c r="F9" s="49"/>
      <c r="G9" s="1"/>
    </row>
    <row r="10" spans="1:7" x14ac:dyDescent="0.25">
      <c r="A10" s="1"/>
      <c r="B10" s="25" t="s">
        <v>236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55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55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15" t="s">
        <v>99</v>
      </c>
      <c r="C15" s="116"/>
      <c r="D15" s="116"/>
      <c r="E15" s="116"/>
      <c r="F15" s="117"/>
      <c r="G15" s="1"/>
    </row>
    <row r="16" spans="1:7" ht="26.25" x14ac:dyDescent="0.25">
      <c r="A16" s="1"/>
      <c r="B16" s="48" t="s">
        <v>17</v>
      </c>
      <c r="C16" s="48" t="s">
        <v>11</v>
      </c>
      <c r="D16" s="49"/>
      <c r="E16" s="48" t="s">
        <v>32</v>
      </c>
      <c r="F16" s="49"/>
      <c r="G16" s="1"/>
    </row>
    <row r="17" spans="1:7" x14ac:dyDescent="0.25">
      <c r="A17" s="1"/>
      <c r="B17" s="25" t="s">
        <v>236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55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55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15" t="s">
        <v>142</v>
      </c>
      <c r="C22" s="116"/>
      <c r="D22" s="116"/>
      <c r="E22" s="116"/>
      <c r="F22" s="117"/>
      <c r="G22" s="1"/>
    </row>
    <row r="23" spans="1:7" ht="26.25" x14ac:dyDescent="0.25">
      <c r="A23" s="1"/>
      <c r="B23" s="48" t="s">
        <v>17</v>
      </c>
      <c r="C23" s="48" t="s">
        <v>11</v>
      </c>
      <c r="D23" s="49"/>
      <c r="E23" s="48" t="s">
        <v>32</v>
      </c>
      <c r="F23" s="49"/>
      <c r="G23" s="1"/>
    </row>
    <row r="24" spans="1:7" x14ac:dyDescent="0.25">
      <c r="A24" s="1"/>
      <c r="B24" s="25" t="s">
        <v>236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55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55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15" t="s">
        <v>215</v>
      </c>
      <c r="C29" s="116"/>
      <c r="D29" s="116"/>
      <c r="E29" s="116"/>
      <c r="F29" s="117"/>
      <c r="G29" s="1"/>
    </row>
    <row r="30" spans="1:7" ht="26.25" x14ac:dyDescent="0.25">
      <c r="A30" s="1"/>
      <c r="B30" s="48" t="s">
        <v>17</v>
      </c>
      <c r="C30" s="48" t="s">
        <v>11</v>
      </c>
      <c r="D30" s="49"/>
      <c r="E30" s="48" t="s">
        <v>32</v>
      </c>
      <c r="F30" s="49"/>
      <c r="G30" s="1"/>
    </row>
    <row r="31" spans="1:7" x14ac:dyDescent="0.25">
      <c r="A31" s="1"/>
      <c r="B31" s="25" t="s">
        <v>236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55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55" t="s">
        <v>216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EX6/neUhEz0nkZEmwLv5a90BY1i4OV5qh9nljI7YtfsGBkEgh/4px6MyxglPw1FKe1Vim3xC89uwpZslPnDlow==" saltValue="KGgXWiRh+BftZLaxLzHBlA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108" t="s">
        <v>164</v>
      </c>
      <c r="C3" s="108"/>
      <c r="D3" s="1"/>
    </row>
    <row r="4" spans="1:4" ht="25.5" customHeight="1" x14ac:dyDescent="0.25">
      <c r="A4" s="1"/>
      <c r="B4" s="108"/>
      <c r="C4" s="108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55" t="s">
        <v>14</v>
      </c>
      <c r="C8" s="20"/>
      <c r="D8" s="1"/>
    </row>
    <row r="9" spans="1:4" x14ac:dyDescent="0.25">
      <c r="A9" s="1"/>
      <c r="B9" s="63" t="s">
        <v>118</v>
      </c>
      <c r="C9" s="26">
        <v>1.2699999999999999E-2</v>
      </c>
      <c r="D9" s="1"/>
    </row>
    <row r="10" spans="1:4" x14ac:dyDescent="0.25">
      <c r="A10" s="1"/>
      <c r="B10" s="63" t="s">
        <v>22</v>
      </c>
      <c r="C10" s="26">
        <v>1.7500000000000002E-2</v>
      </c>
      <c r="D10" s="1"/>
    </row>
    <row r="11" spans="1:4" x14ac:dyDescent="0.25">
      <c r="A11" s="1"/>
      <c r="B11" s="63" t="s">
        <v>119</v>
      </c>
      <c r="C11" s="26">
        <v>1.6899999999999998E-2</v>
      </c>
      <c r="D11" s="1"/>
    </row>
    <row r="12" spans="1:4" x14ac:dyDescent="0.25">
      <c r="A12" s="1"/>
      <c r="B12" s="33" t="s">
        <v>42</v>
      </c>
      <c r="C12" s="34">
        <v>1.9699999999999999E-2</v>
      </c>
      <c r="D12" s="1"/>
    </row>
    <row r="13" spans="1:4" x14ac:dyDescent="0.25">
      <c r="A13" s="1"/>
      <c r="B13" s="33" t="s">
        <v>140</v>
      </c>
      <c r="C13" s="34">
        <v>1.2200000000000001E-2</v>
      </c>
      <c r="D13" s="1"/>
    </row>
    <row r="14" spans="1:4" x14ac:dyDescent="0.25">
      <c r="A14" s="1"/>
      <c r="B14" s="33" t="s">
        <v>217</v>
      </c>
      <c r="C14" s="70">
        <v>3.3E-3</v>
      </c>
      <c r="D14" s="1"/>
    </row>
    <row r="15" spans="1:4" x14ac:dyDescent="0.25">
      <c r="A15" s="1"/>
      <c r="B15" s="115"/>
      <c r="C15" s="117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1"/>
      <c r="C17" s="1"/>
      <c r="D17" s="1"/>
    </row>
    <row r="18" spans="1:4" x14ac:dyDescent="0.25">
      <c r="A18" s="1"/>
      <c r="B18" s="55" t="s">
        <v>106</v>
      </c>
      <c r="C18" s="20"/>
      <c r="D18" s="1"/>
    </row>
    <row r="19" spans="1:4" x14ac:dyDescent="0.25">
      <c r="A19" s="1"/>
      <c r="B19" s="63" t="s">
        <v>120</v>
      </c>
      <c r="C19" s="23">
        <v>9.1000000000000004E-3</v>
      </c>
      <c r="D19" s="1"/>
    </row>
    <row r="20" spans="1:4" x14ac:dyDescent="0.25">
      <c r="A20" s="1"/>
      <c r="B20" s="63" t="s">
        <v>121</v>
      </c>
      <c r="C20" s="23">
        <v>1.77E-2</v>
      </c>
      <c r="D20" s="1"/>
    </row>
    <row r="21" spans="1:4" x14ac:dyDescent="0.25">
      <c r="A21" s="1"/>
      <c r="B21" s="63" t="s">
        <v>122</v>
      </c>
      <c r="C21" s="23">
        <v>8.6999999999999994E-3</v>
      </c>
      <c r="D21" s="1"/>
    </row>
    <row r="22" spans="1:4" x14ac:dyDescent="0.25">
      <c r="A22" s="1"/>
      <c r="B22" s="63" t="s">
        <v>123</v>
      </c>
      <c r="C22" s="35">
        <v>2.8400000000000002E-2</v>
      </c>
      <c r="D22" s="1"/>
    </row>
    <row r="23" spans="1:4" x14ac:dyDescent="0.25">
      <c r="A23" s="1"/>
      <c r="B23" s="63" t="s">
        <v>146</v>
      </c>
      <c r="C23" s="35">
        <v>2.75E-2</v>
      </c>
      <c r="D23" s="1"/>
    </row>
    <row r="24" spans="1:4" x14ac:dyDescent="0.25">
      <c r="A24" s="1"/>
      <c r="B24" s="63" t="s">
        <v>218</v>
      </c>
      <c r="C24" s="35">
        <v>1.4800000000000001E-2</v>
      </c>
      <c r="D24" s="1"/>
    </row>
    <row r="25" spans="1:4" x14ac:dyDescent="0.25">
      <c r="A25" s="1"/>
      <c r="B25" s="55"/>
      <c r="C25" s="20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55" t="s">
        <v>107</v>
      </c>
      <c r="C28" s="20"/>
      <c r="D28" s="1"/>
    </row>
    <row r="29" spans="1:4" x14ac:dyDescent="0.25">
      <c r="A29" s="1"/>
      <c r="B29" s="63" t="s">
        <v>124</v>
      </c>
      <c r="C29" s="26">
        <v>0.02</v>
      </c>
      <c r="D29" s="1"/>
    </row>
    <row r="30" spans="1:4" x14ac:dyDescent="0.25">
      <c r="A30" s="1"/>
      <c r="B30" s="55"/>
      <c r="C30" s="20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  <row r="50" spans="1:4" x14ac:dyDescent="0.25">
      <c r="A50" s="1"/>
      <c r="B50" s="1"/>
      <c r="C50" s="1"/>
      <c r="D50" s="1"/>
    </row>
    <row r="51" spans="1:4" x14ac:dyDescent="0.25">
      <c r="A51" s="1"/>
      <c r="B51" s="1"/>
      <c r="C51" s="1"/>
      <c r="D51" s="1"/>
    </row>
  </sheetData>
  <sheetProtection algorithmName="SHA-512" hashValue="gxboQEokDBMS5nOjbeMjcG9p5PQB09pL7Jv8aCHgYPuFbhJjS6ONEZpr9FlXdZqXYQZH9lc2NDbLTDjwr8qtRA==" saltValue="TSsS+6jCPdLir4mX8nsmR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184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x14ac:dyDescent="0.25">
      <c r="A9" s="1"/>
      <c r="B9" s="51" t="s">
        <v>24</v>
      </c>
      <c r="C9" s="7">
        <f>'Fane 3. Omkostninger i ØR2021'!E20</f>
        <v>27927713.118207034</v>
      </c>
      <c r="D9" s="8" t="s">
        <v>3</v>
      </c>
      <c r="E9" s="1"/>
    </row>
    <row r="10" spans="1:5" x14ac:dyDescent="0.25">
      <c r="A10" s="1"/>
      <c r="B10" s="47" t="s">
        <v>219</v>
      </c>
      <c r="C10" s="7">
        <f>(SUM('Fane 3. Omkostninger i ØR2021'!E10,'Fane 3. Omkostninger i ØR2021'!E12,'Fane 3. Omkostninger i ØR2021'!E14)*(1+'Fane 12. Nøgletal'!C13)*(1-'Fane 12. Nøgletal'!C29-'Fane 5. Individuelt eff. krav'!G10))</f>
        <v>36693.301470491904</v>
      </c>
      <c r="D10" s="8" t="s">
        <v>3</v>
      </c>
      <c r="E10" s="1"/>
    </row>
    <row r="11" spans="1:5" x14ac:dyDescent="0.25">
      <c r="A11" s="1"/>
      <c r="B11" s="47" t="s">
        <v>220</v>
      </c>
      <c r="C11" s="7">
        <f>(SUM('Fane 3. Omkostninger i ØR2021'!E11,'Fane 3. Omkostninger i ØR2021'!E13,'Fane 3. Omkostninger i ØR2021'!E15)*(1+'Fane 12. Nøgletal'!C13)*(1-'Fane 12. Nøgletal'!C23-'Fane 5. Individuelt eff. krav'!G10))</f>
        <v>270474.13931017218</v>
      </c>
      <c r="D11" s="8" t="s">
        <v>3</v>
      </c>
      <c r="E11" s="1"/>
    </row>
    <row r="12" spans="1:5" ht="17.100000000000001" customHeight="1" x14ac:dyDescent="0.25">
      <c r="A12" s="1"/>
      <c r="B12" s="30" t="s">
        <v>40</v>
      </c>
      <c r="C12" s="7">
        <f>'Fane 9.1. Varige tillæg'!C14</f>
        <v>728639.60190000001</v>
      </c>
      <c r="D12" s="8" t="s">
        <v>3</v>
      </c>
      <c r="E12" s="1"/>
    </row>
    <row r="13" spans="1:5" ht="17.100000000000001" customHeight="1" x14ac:dyDescent="0.25">
      <c r="A13" s="1"/>
      <c r="B13" s="30" t="s">
        <v>41</v>
      </c>
      <c r="C13" s="9">
        <f>'Fane 9.1. Varige tillæg'!E14</f>
        <v>229870.07620000001</v>
      </c>
      <c r="D13" s="8" t="s">
        <v>3</v>
      </c>
      <c r="E13" s="1"/>
    </row>
    <row r="14" spans="1:5" ht="17.100000000000001" customHeight="1" x14ac:dyDescent="0.2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2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2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2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25">
      <c r="A18" s="1"/>
      <c r="B18" s="30" t="s">
        <v>18</v>
      </c>
      <c r="C18" s="9">
        <f>C9*'Fane 12. Nøgletal'!C13+SUM(C12:C17)*'Fane 12. Nøgletal'!C14</f>
        <v>343881.18197985587</v>
      </c>
      <c r="D18" s="8" t="s">
        <v>3</v>
      </c>
      <c r="E18" s="1"/>
    </row>
    <row r="19" spans="1:5" ht="17.100000000000001" customHeight="1" x14ac:dyDescent="0.25">
      <c r="A19" s="1"/>
      <c r="B19" s="30" t="s">
        <v>9</v>
      </c>
      <c r="C19" s="9">
        <f>-SUM(C9,C12:C18)*'Fane 5. Individuelt eff. krav'!G10</f>
        <v>-217029.6361101389</v>
      </c>
      <c r="D19" s="8" t="s">
        <v>3</v>
      </c>
      <c r="E19" s="1"/>
    </row>
    <row r="20" spans="1:5" ht="17.100000000000001" customHeight="1" x14ac:dyDescent="0.25">
      <c r="A20" s="1"/>
      <c r="B20" s="30" t="s">
        <v>25</v>
      </c>
      <c r="C20" s="9">
        <f>-'Fane 4.1. Gen. krav - drift'!G38</f>
        <v>-316368.65173152997</v>
      </c>
      <c r="D20" s="8" t="s">
        <v>3</v>
      </c>
      <c r="E20" s="1"/>
    </row>
    <row r="21" spans="1:5" ht="17.100000000000001" customHeight="1" x14ac:dyDescent="0.25">
      <c r="A21" s="1"/>
      <c r="B21" s="30" t="s">
        <v>26</v>
      </c>
      <c r="C21" s="9">
        <f>-'Fane 4.2. Gen. krav - anlæg'!G38</f>
        <v>-433620.2786842279</v>
      </c>
      <c r="D21" s="8" t="s">
        <v>3</v>
      </c>
      <c r="E21" s="1"/>
    </row>
    <row r="22" spans="1:5" ht="17.100000000000001" customHeight="1" x14ac:dyDescent="0.25">
      <c r="A22" s="1"/>
      <c r="B22" s="64" t="s">
        <v>20</v>
      </c>
      <c r="C22" s="10">
        <f>SUM(C9,C12:C21)</f>
        <v>28263085.411760997</v>
      </c>
      <c r="D22" s="11" t="s">
        <v>3</v>
      </c>
      <c r="E22" s="1"/>
    </row>
    <row r="23" spans="1:5" ht="15" customHeight="1" x14ac:dyDescent="0.25">
      <c r="A23" s="1"/>
      <c r="B23" s="55" t="s">
        <v>12</v>
      </c>
      <c r="C23" s="56"/>
      <c r="D23" s="20"/>
      <c r="E23" s="1"/>
    </row>
    <row r="24" spans="1:5" ht="15" customHeight="1" x14ac:dyDescent="0.25">
      <c r="A24" s="1"/>
      <c r="B24" s="48" t="s">
        <v>12</v>
      </c>
      <c r="C24" s="10">
        <f>'Fane 6. Ikke-påvirkelige omk.'!C16</f>
        <v>35727631.259271994</v>
      </c>
      <c r="D24" s="11" t="s">
        <v>3</v>
      </c>
      <c r="E24" s="1"/>
    </row>
    <row r="25" spans="1:5" ht="15" customHeight="1" x14ac:dyDescent="0.25">
      <c r="A25" s="1"/>
      <c r="B25" s="55" t="s">
        <v>89</v>
      </c>
      <c r="C25" s="56"/>
      <c r="D25" s="20"/>
      <c r="E25" s="1"/>
    </row>
    <row r="26" spans="1:5" ht="15" customHeight="1" x14ac:dyDescent="0.2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2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25">
      <c r="A28" s="1"/>
      <c r="B28" s="64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25">
      <c r="A29" s="1"/>
      <c r="B29" s="36" t="s">
        <v>161</v>
      </c>
      <c r="C29" s="56"/>
      <c r="D29" s="20"/>
      <c r="E29" s="1"/>
    </row>
    <row r="30" spans="1:5" x14ac:dyDescent="0.25">
      <c r="A30" s="1"/>
      <c r="B30" s="67" t="s">
        <v>162</v>
      </c>
      <c r="C30" s="10">
        <f>'Fane 7. Kontrol af ØR2020'!E30</f>
        <v>-866279.93325174903</v>
      </c>
      <c r="D30" s="11" t="s">
        <v>3</v>
      </c>
      <c r="E30" s="1"/>
    </row>
    <row r="31" spans="1:5" x14ac:dyDescent="0.25">
      <c r="A31" s="1"/>
      <c r="B31" s="36" t="s">
        <v>225</v>
      </c>
      <c r="C31" s="56"/>
      <c r="D31" s="20"/>
      <c r="E31" s="1"/>
    </row>
    <row r="32" spans="1:5" x14ac:dyDescent="0.25">
      <c r="A32" s="1"/>
      <c r="B32" s="67" t="s">
        <v>226</v>
      </c>
      <c r="C32" s="10">
        <v>0</v>
      </c>
      <c r="D32" s="11" t="s">
        <v>3</v>
      </c>
      <c r="E32" s="1"/>
    </row>
    <row r="33" spans="1:5" x14ac:dyDescent="0.25">
      <c r="A33" s="1"/>
      <c r="B33" s="55" t="s">
        <v>30</v>
      </c>
      <c r="C33" s="31">
        <f>SUM(C22,C24,C28,C30,C32)</f>
        <v>63124436.737781249</v>
      </c>
      <c r="D33" s="20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</sheetData>
  <sheetProtection algorithmName="SHA-512" hashValue="6CBkTjx3pWYP48MepP0+iRiycpHdRFVq+LSvrCPBMLnxpuDI+R/A74BH8HwkxLbBOUg6maxhyA/DetgtxHP1zw==" saltValue="8l3sZgpmsUgTyOihX3NId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185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55" t="s">
        <v>13</v>
      </c>
      <c r="C8" s="56"/>
      <c r="D8" s="20"/>
      <c r="E8" s="1"/>
    </row>
    <row r="9" spans="1:5" ht="15" customHeight="1" x14ac:dyDescent="0.25">
      <c r="A9" s="1"/>
      <c r="B9" s="51" t="s">
        <v>134</v>
      </c>
      <c r="C9" s="7">
        <f>'Fane 2.1. Økonomisk ramme 2022'!C22</f>
        <v>28263085.411760997</v>
      </c>
      <c r="D9" s="8" t="s">
        <v>3</v>
      </c>
      <c r="E9" s="1"/>
    </row>
    <row r="10" spans="1:5" ht="15" customHeight="1" x14ac:dyDescent="0.25">
      <c r="A10" s="1"/>
      <c r="B10" s="30" t="s">
        <v>28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0" t="s">
        <v>27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47" t="s">
        <v>18</v>
      </c>
      <c r="C12" s="9">
        <f>SUM(C9:C11)*'Fane 12. Nøgletal'!C14</f>
        <v>93268.181858811295</v>
      </c>
      <c r="D12" s="8" t="s">
        <v>3</v>
      </c>
      <c r="E12" s="1"/>
    </row>
    <row r="13" spans="1:5" ht="15" customHeight="1" x14ac:dyDescent="0.25">
      <c r="A13" s="1"/>
      <c r="B13" s="47" t="s">
        <v>9</v>
      </c>
      <c r="C13" s="9">
        <f>-SUM(C9:C12)*'Fane 5. Individuelt eff. krav'!G10</f>
        <v>-210542.15566271203</v>
      </c>
      <c r="D13" s="8" t="s">
        <v>3</v>
      </c>
      <c r="E13" s="1"/>
    </row>
    <row r="14" spans="1:5" ht="15" customHeight="1" x14ac:dyDescent="0.25">
      <c r="A14" s="1"/>
      <c r="B14" s="47" t="s">
        <v>25</v>
      </c>
      <c r="C14" s="9">
        <f>-'Fane 4.1. Gen. krav - drift'!G44</f>
        <v>-311064.41491659917</v>
      </c>
      <c r="D14" s="8" t="s">
        <v>3</v>
      </c>
      <c r="E14" s="1"/>
    </row>
    <row r="15" spans="1:5" ht="15" customHeight="1" x14ac:dyDescent="0.25">
      <c r="A15" s="1"/>
      <c r="B15" s="47" t="s">
        <v>26</v>
      </c>
      <c r="C15" s="9">
        <f>-'Fane 4.2. Gen. krav - anlæg'!G44</f>
        <v>-229279.42917314923</v>
      </c>
      <c r="D15" s="8" t="s">
        <v>3</v>
      </c>
      <c r="E15" s="1"/>
    </row>
    <row r="16" spans="1:5" ht="15" customHeight="1" x14ac:dyDescent="0.25">
      <c r="A16" s="1"/>
      <c r="B16" s="52" t="s">
        <v>20</v>
      </c>
      <c r="C16" s="10">
        <f>SUM(C9:C15)</f>
        <v>27605467.593867347</v>
      </c>
      <c r="D16" s="11" t="s">
        <v>3</v>
      </c>
      <c r="E16" s="1"/>
    </row>
    <row r="17" spans="1:5" x14ac:dyDescent="0.25">
      <c r="A17" s="1"/>
      <c r="B17" s="55" t="s">
        <v>12</v>
      </c>
      <c r="C17" s="56"/>
      <c r="D17" s="20"/>
      <c r="E17" s="1"/>
    </row>
    <row r="18" spans="1:5" ht="15" customHeight="1" x14ac:dyDescent="0.25">
      <c r="A18" s="1"/>
      <c r="B18" s="48" t="s">
        <v>12</v>
      </c>
      <c r="C18" s="10">
        <f>'Fane 6. Ikke-påvirkelige omk.'!C16*(1+'Fane 12. Nøgletal'!C14)</f>
        <v>35845532.442427598</v>
      </c>
      <c r="D18" s="11" t="s">
        <v>3</v>
      </c>
      <c r="E18" s="1"/>
    </row>
    <row r="19" spans="1:5" ht="15" customHeight="1" x14ac:dyDescent="0.25">
      <c r="A19" s="1"/>
      <c r="B19" s="55" t="s">
        <v>89</v>
      </c>
      <c r="C19" s="56"/>
      <c r="D19" s="20"/>
      <c r="E19" s="1"/>
    </row>
    <row r="20" spans="1:5" ht="15" customHeight="1" x14ac:dyDescent="0.25">
      <c r="A20" s="1"/>
      <c r="B20" s="30" t="s">
        <v>85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0" t="s">
        <v>86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64" t="s">
        <v>90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6" t="s">
        <v>161</v>
      </c>
      <c r="C23" s="56"/>
      <c r="D23" s="20"/>
      <c r="E23" s="1"/>
    </row>
    <row r="24" spans="1:5" ht="15" customHeight="1" x14ac:dyDescent="0.25">
      <c r="A24" s="1"/>
      <c r="B24" s="67" t="s">
        <v>162</v>
      </c>
      <c r="C24" s="10">
        <f>'Fane 7. Kontrol af ØR2020'!E37</f>
        <v>-2040061.5024434403</v>
      </c>
      <c r="D24" s="11" t="s">
        <v>3</v>
      </c>
      <c r="E24" s="1"/>
    </row>
    <row r="25" spans="1:5" x14ac:dyDescent="0.25">
      <c r="A25" s="1"/>
      <c r="B25" s="36" t="s">
        <v>225</v>
      </c>
      <c r="C25" s="56"/>
      <c r="D25" s="20"/>
      <c r="E25" s="1"/>
    </row>
    <row r="26" spans="1:5" x14ac:dyDescent="0.25">
      <c r="A26" s="1"/>
      <c r="B26" s="67" t="s">
        <v>226</v>
      </c>
      <c r="C26" s="10">
        <v>0</v>
      </c>
      <c r="D26" s="11" t="s">
        <v>3</v>
      </c>
      <c r="E26" s="1"/>
    </row>
    <row r="27" spans="1:5" x14ac:dyDescent="0.25">
      <c r="A27" s="1"/>
      <c r="B27" s="55" t="s">
        <v>97</v>
      </c>
      <c r="C27" s="12">
        <f>SUM(C16,C18,C22,C24,C26)</f>
        <v>61410938.533851504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EY6+OBugZnRn/k11HoJHyy7sLCIbccXYd6jWQMrPiARq18xWTu2ZC9gBAk85Rc0+btvjZRZyczQx+ZL0cNoE7w==" saltValue="8mjZKoYTsSqo9mxl7YOW4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186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135</v>
      </c>
      <c r="C8" s="7">
        <f>'Fane 2.2. Økonomisk ramme 2023'!C16</f>
        <v>27605467.593867347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91098.043059762247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-205643.31779825428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drift'!G50</f>
        <v>-305849.10893610748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43">
        <f>-'Fane 4.2. Gen. krav - anlæg'!G50</f>
        <v>-226631.51773033722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26958441.692462411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Nøgletal'!C14)^2</f>
        <v>35963822.699487612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-2040061.5024434403</v>
      </c>
      <c r="D23" s="11" t="s">
        <v>3</v>
      </c>
      <c r="E23" s="1"/>
    </row>
    <row r="24" spans="1:5" ht="15" customHeight="1" x14ac:dyDescent="0.25">
      <c r="A24" s="1"/>
      <c r="B24" s="36" t="s">
        <v>225</v>
      </c>
      <c r="C24" s="56"/>
      <c r="D24" s="20"/>
      <c r="E24" s="1"/>
    </row>
    <row r="25" spans="1:5" ht="15" customHeight="1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187</v>
      </c>
      <c r="C26" s="12">
        <f>SUM(C15,C17,C21,C23,C25)</f>
        <v>60882202.889506586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xCxfUsP5c/fy9Ju0+OV3p/OU9YcpqpbsJREAaNFABRJTrdNzigfNV3Ofp46oNbl9G4uUBmJMJXwDswXkel+3RQ==" saltValue="IMSbUwGzIe9nscpWJU6ji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89" t="s">
        <v>188</v>
      </c>
      <c r="C3" s="89"/>
      <c r="D3" s="89"/>
      <c r="E3" s="1"/>
    </row>
    <row r="4" spans="1:5" ht="15" customHeight="1" x14ac:dyDescent="0.25">
      <c r="A4" s="1"/>
      <c r="B4" s="89"/>
      <c r="C4" s="89"/>
      <c r="D4" s="89"/>
      <c r="E4" s="1"/>
    </row>
    <row r="5" spans="1:5" x14ac:dyDescent="0.25">
      <c r="A5" s="1"/>
      <c r="B5" s="90" t="s">
        <v>21</v>
      </c>
      <c r="C5" s="90"/>
      <c r="D5" s="90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55" t="s">
        <v>13</v>
      </c>
      <c r="C7" s="56"/>
      <c r="D7" s="20"/>
      <c r="E7" s="1"/>
    </row>
    <row r="8" spans="1:5" ht="15" customHeight="1" x14ac:dyDescent="0.25">
      <c r="A8" s="1"/>
      <c r="B8" s="51" t="s">
        <v>189</v>
      </c>
      <c r="C8" s="7">
        <f>'Fane 2.3. Økonomisk ramme 2024'!C15</f>
        <v>26958441.692462411</v>
      </c>
      <c r="D8" s="8" t="s">
        <v>3</v>
      </c>
      <c r="E8" s="1"/>
    </row>
    <row r="9" spans="1:5" ht="15" customHeight="1" x14ac:dyDescent="0.25">
      <c r="A9" s="1"/>
      <c r="B9" s="51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51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47" t="s">
        <v>18</v>
      </c>
      <c r="C11" s="9">
        <f>SUM(C8:C10)*'Fane 12. Nøgletal'!C14</f>
        <v>88962.857585125952</v>
      </c>
      <c r="D11" s="8" t="s">
        <v>3</v>
      </c>
      <c r="E11" s="1"/>
    </row>
    <row r="12" spans="1:5" ht="15" customHeight="1" x14ac:dyDescent="0.25">
      <c r="A12" s="1"/>
      <c r="B12" s="47" t="s">
        <v>9</v>
      </c>
      <c r="C12" s="9">
        <f>-SUM(C8:C11)*'Fane 5. Individuelt eff. krav'!G10</f>
        <v>-200823.38302939435</v>
      </c>
      <c r="D12" s="8" t="s">
        <v>3</v>
      </c>
      <c r="E12" s="1"/>
    </row>
    <row r="13" spans="1:5" ht="15" customHeight="1" x14ac:dyDescent="0.25">
      <c r="A13" s="1"/>
      <c r="B13" s="47" t="s">
        <v>25</v>
      </c>
      <c r="C13" s="9">
        <f>-'Fane 4.1. Gen. krav - drift'!G56</f>
        <v>-300721.24277568475</v>
      </c>
      <c r="D13" s="8" t="s">
        <v>3</v>
      </c>
      <c r="E13" s="1"/>
    </row>
    <row r="14" spans="1:5" ht="15" customHeight="1" x14ac:dyDescent="0.25">
      <c r="A14" s="1"/>
      <c r="B14" s="47" t="s">
        <v>26</v>
      </c>
      <c r="C14" s="9">
        <f>-'Fane 4.2. Gen. krav - anlæg'!G56</f>
        <v>-224014.18659311239</v>
      </c>
      <c r="D14" s="8" t="s">
        <v>3</v>
      </c>
      <c r="E14" s="1"/>
    </row>
    <row r="15" spans="1:5" x14ac:dyDescent="0.25">
      <c r="A15" s="1"/>
      <c r="B15" s="52" t="s">
        <v>20</v>
      </c>
      <c r="C15" s="10">
        <f>SUM(C8:C14)</f>
        <v>26321845.737649344</v>
      </c>
      <c r="D15" s="11" t="s">
        <v>3</v>
      </c>
      <c r="E15" s="1"/>
    </row>
    <row r="16" spans="1:5" x14ac:dyDescent="0.25">
      <c r="A16" s="1"/>
      <c r="B16" s="55" t="s">
        <v>12</v>
      </c>
      <c r="C16" s="56"/>
      <c r="D16" s="20"/>
      <c r="E16" s="1"/>
    </row>
    <row r="17" spans="1:5" ht="15" customHeight="1" x14ac:dyDescent="0.25">
      <c r="A17" s="1"/>
      <c r="B17" s="48" t="s">
        <v>12</v>
      </c>
      <c r="C17" s="10">
        <f>'Fane 6. Ikke-påvirkelige omk.'!C16*(1+'Fane 12. Nøgletal'!C14)^3</f>
        <v>36082503.314395919</v>
      </c>
      <c r="D17" s="11" t="s">
        <v>3</v>
      </c>
      <c r="E17" s="1"/>
    </row>
    <row r="18" spans="1:5" ht="15" customHeight="1" x14ac:dyDescent="0.25">
      <c r="A18" s="1"/>
      <c r="B18" s="55" t="s">
        <v>89</v>
      </c>
      <c r="C18" s="56"/>
      <c r="D18" s="20"/>
      <c r="E18" s="1"/>
    </row>
    <row r="19" spans="1:5" ht="15" customHeight="1" x14ac:dyDescent="0.2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64" t="s">
        <v>90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55" t="s">
        <v>161</v>
      </c>
      <c r="C22" s="56"/>
      <c r="D22" s="20"/>
      <c r="E22" s="1"/>
    </row>
    <row r="23" spans="1:5" x14ac:dyDescent="0.25">
      <c r="A23" s="1"/>
      <c r="B23" s="48" t="s">
        <v>162</v>
      </c>
      <c r="C23" s="10">
        <f>'Fane 7. Kontrol af ØR2020'!E37</f>
        <v>-2040061.5024434403</v>
      </c>
      <c r="D23" s="11" t="s">
        <v>3</v>
      </c>
      <c r="E23" s="1"/>
    </row>
    <row r="24" spans="1:5" x14ac:dyDescent="0.25">
      <c r="A24" s="1"/>
      <c r="B24" s="36" t="s">
        <v>225</v>
      </c>
      <c r="C24" s="56"/>
      <c r="D24" s="20"/>
      <c r="E24" s="1"/>
    </row>
    <row r="25" spans="1:5" x14ac:dyDescent="0.25">
      <c r="A25" s="1"/>
      <c r="B25" s="67" t="s">
        <v>226</v>
      </c>
      <c r="C25" s="10">
        <v>0</v>
      </c>
      <c r="D25" s="11" t="s">
        <v>3</v>
      </c>
      <c r="E25" s="1"/>
    </row>
    <row r="26" spans="1:5" x14ac:dyDescent="0.25">
      <c r="A26" s="1"/>
      <c r="B26" s="55" t="s">
        <v>190</v>
      </c>
      <c r="C26" s="12">
        <f>SUM(C15,C17,C21,C23,C25)</f>
        <v>60364287.549601823</v>
      </c>
      <c r="D26" s="13" t="s">
        <v>3</v>
      </c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YhdtTQwIQSLGYPvlr7mgf7RsK0mtBYvSD91EoW/d/7ORjLHjW9KoE2dgAH7k7Q5a/KhgI/X8q/zIyExStVZC7Q==" saltValue="FLrN98KqVOXIeYlgr+JKE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108" t="s">
        <v>191</v>
      </c>
      <c r="C3" s="108"/>
      <c r="D3" s="108"/>
      <c r="E3" s="108"/>
      <c r="F3" s="108"/>
      <c r="G3" s="1"/>
    </row>
    <row r="4" spans="1:7" ht="29.25" customHeight="1" x14ac:dyDescent="0.25">
      <c r="A4" s="1"/>
      <c r="B4" s="108"/>
      <c r="C4" s="108"/>
      <c r="D4" s="108"/>
      <c r="E4" s="108"/>
      <c r="F4" s="10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55" t="s">
        <v>224</v>
      </c>
      <c r="C8" s="56"/>
      <c r="D8" s="56"/>
      <c r="E8" s="56"/>
      <c r="F8" s="20"/>
      <c r="G8" s="1"/>
    </row>
    <row r="9" spans="1:7" x14ac:dyDescent="0.25">
      <c r="A9" s="1"/>
      <c r="B9" s="109" t="s">
        <v>23</v>
      </c>
      <c r="C9" s="110"/>
      <c r="D9" s="111"/>
      <c r="E9" s="7">
        <v>28221115.72048831</v>
      </c>
      <c r="F9" s="8" t="s">
        <v>3</v>
      </c>
      <c r="G9" s="1"/>
    </row>
    <row r="10" spans="1:7" ht="15" customHeight="1" x14ac:dyDescent="0.25">
      <c r="A10" s="1"/>
      <c r="B10" s="94" t="s">
        <v>40</v>
      </c>
      <c r="C10" s="95"/>
      <c r="D10" s="96"/>
      <c r="E10" s="9">
        <v>37273.252800000002</v>
      </c>
      <c r="F10" s="8" t="s">
        <v>3</v>
      </c>
      <c r="G10" s="1"/>
    </row>
    <row r="11" spans="1:7" ht="15" customHeight="1" x14ac:dyDescent="0.25">
      <c r="A11" s="1"/>
      <c r="B11" s="94" t="s">
        <v>41</v>
      </c>
      <c r="C11" s="95"/>
      <c r="D11" s="96"/>
      <c r="E11" s="9">
        <v>276884.27340000001</v>
      </c>
      <c r="F11" s="8" t="s">
        <v>3</v>
      </c>
      <c r="G11" s="1"/>
    </row>
    <row r="12" spans="1:7" x14ac:dyDescent="0.25">
      <c r="A12" s="1"/>
      <c r="B12" s="94" t="s">
        <v>28</v>
      </c>
      <c r="C12" s="95"/>
      <c r="D12" s="96"/>
      <c r="E12" s="9">
        <v>0</v>
      </c>
      <c r="F12" s="8" t="s">
        <v>3</v>
      </c>
      <c r="G12" s="1"/>
    </row>
    <row r="13" spans="1:7" x14ac:dyDescent="0.25">
      <c r="A13" s="1"/>
      <c r="B13" s="94" t="s">
        <v>27</v>
      </c>
      <c r="C13" s="95"/>
      <c r="D13" s="96"/>
      <c r="E13" s="9">
        <v>0</v>
      </c>
      <c r="F13" s="8" t="s">
        <v>3</v>
      </c>
      <c r="G13" s="1"/>
    </row>
    <row r="14" spans="1:7" x14ac:dyDescent="0.25">
      <c r="A14" s="1"/>
      <c r="B14" s="94" t="s">
        <v>132</v>
      </c>
      <c r="C14" s="95"/>
      <c r="D14" s="96"/>
      <c r="E14" s="9">
        <v>0</v>
      </c>
      <c r="F14" s="8" t="s">
        <v>3</v>
      </c>
      <c r="G14" s="1"/>
    </row>
    <row r="15" spans="1:7" x14ac:dyDescent="0.25">
      <c r="A15" s="1"/>
      <c r="B15" s="94" t="s">
        <v>133</v>
      </c>
      <c r="C15" s="95"/>
      <c r="D15" s="96"/>
      <c r="E15" s="9">
        <v>0</v>
      </c>
      <c r="F15" s="8" t="s">
        <v>3</v>
      </c>
      <c r="G15" s="1"/>
    </row>
    <row r="16" spans="1:7" x14ac:dyDescent="0.25">
      <c r="A16" s="1"/>
      <c r="B16" s="94" t="s">
        <v>18</v>
      </c>
      <c r="C16" s="95"/>
      <c r="D16" s="96"/>
      <c r="E16" s="9">
        <v>348130.33360959741</v>
      </c>
      <c r="F16" s="8" t="s">
        <v>3</v>
      </c>
      <c r="G16" s="1"/>
    </row>
    <row r="17" spans="1:7" x14ac:dyDescent="0.25">
      <c r="A17" s="1"/>
      <c r="B17" s="94" t="s">
        <v>9</v>
      </c>
      <c r="C17" s="95"/>
      <c r="D17" s="96"/>
      <c r="E17" s="9">
        <v>-214455.43174635409</v>
      </c>
      <c r="F17" s="8" t="s">
        <v>3</v>
      </c>
      <c r="G17" s="1"/>
    </row>
    <row r="18" spans="1:7" x14ac:dyDescent="0.25">
      <c r="A18" s="1"/>
      <c r="B18" s="94" t="s">
        <v>25</v>
      </c>
      <c r="C18" s="95"/>
      <c r="D18" s="96"/>
      <c r="E18" s="9">
        <v>-304194.71174104954</v>
      </c>
      <c r="F18" s="8" t="s">
        <v>3</v>
      </c>
      <c r="G18" s="1"/>
    </row>
    <row r="19" spans="1:7" x14ac:dyDescent="0.25">
      <c r="A19" s="1"/>
      <c r="B19" s="94" t="s">
        <v>26</v>
      </c>
      <c r="C19" s="95"/>
      <c r="D19" s="96"/>
      <c r="E19" s="9">
        <v>-437040.31860347086</v>
      </c>
      <c r="F19" s="8" t="s">
        <v>3</v>
      </c>
      <c r="G19" s="1"/>
    </row>
    <row r="20" spans="1:7" x14ac:dyDescent="0.25">
      <c r="A20" s="1"/>
      <c r="B20" s="97" t="s">
        <v>20</v>
      </c>
      <c r="C20" s="98"/>
      <c r="D20" s="99"/>
      <c r="E20" s="10">
        <f>SUM(E9:E19)</f>
        <v>27927713.118207034</v>
      </c>
      <c r="F20" s="11" t="s">
        <v>3</v>
      </c>
      <c r="G20" s="1"/>
    </row>
    <row r="21" spans="1:7" x14ac:dyDescent="0.25">
      <c r="A21" s="1"/>
      <c r="B21" s="55" t="s">
        <v>12</v>
      </c>
      <c r="C21" s="56"/>
      <c r="D21" s="56"/>
      <c r="E21" s="56"/>
      <c r="F21" s="20"/>
      <c r="G21" s="1"/>
    </row>
    <row r="22" spans="1:7" x14ac:dyDescent="0.25">
      <c r="A22" s="1"/>
      <c r="B22" s="105" t="s">
        <v>12</v>
      </c>
      <c r="C22" s="106"/>
      <c r="D22" s="107"/>
      <c r="E22" s="10">
        <v>34382775.097727284</v>
      </c>
      <c r="F22" s="11" t="s">
        <v>3</v>
      </c>
      <c r="G22" s="1"/>
    </row>
    <row r="23" spans="1:7" ht="15" customHeight="1" x14ac:dyDescent="0.25">
      <c r="A23" s="1"/>
      <c r="B23" s="103" t="s">
        <v>89</v>
      </c>
      <c r="C23" s="104"/>
      <c r="D23" s="104"/>
      <c r="E23" s="56"/>
      <c r="F23" s="56"/>
      <c r="G23" s="1"/>
    </row>
    <row r="24" spans="1:7" ht="14.25" customHeight="1" x14ac:dyDescent="0.25">
      <c r="A24" s="1"/>
      <c r="B24" s="91" t="s">
        <v>85</v>
      </c>
      <c r="C24" s="92"/>
      <c r="D24" s="93"/>
      <c r="E24" s="9">
        <v>0</v>
      </c>
      <c r="F24" s="8" t="s">
        <v>3</v>
      </c>
      <c r="G24" s="1"/>
    </row>
    <row r="25" spans="1:7" ht="14.25" customHeight="1" x14ac:dyDescent="0.25">
      <c r="A25" s="1"/>
      <c r="B25" s="91" t="s">
        <v>86</v>
      </c>
      <c r="C25" s="92"/>
      <c r="D25" s="93"/>
      <c r="E25" s="9">
        <v>0</v>
      </c>
      <c r="F25" s="8" t="s">
        <v>3</v>
      </c>
      <c r="G25" s="1"/>
    </row>
    <row r="26" spans="1:7" x14ac:dyDescent="0.25">
      <c r="A26" s="1"/>
      <c r="B26" s="100" t="s">
        <v>90</v>
      </c>
      <c r="C26" s="101"/>
      <c r="D26" s="101"/>
      <c r="E26" s="10">
        <v>0</v>
      </c>
      <c r="F26" s="11" t="s">
        <v>3</v>
      </c>
      <c r="G26" s="1"/>
    </row>
    <row r="27" spans="1:7" x14ac:dyDescent="0.25">
      <c r="A27" s="1"/>
      <c r="B27" s="55" t="s">
        <v>161</v>
      </c>
      <c r="C27" s="56"/>
      <c r="D27" s="56"/>
      <c r="E27" s="56"/>
      <c r="F27" s="20"/>
      <c r="G27" s="1"/>
    </row>
    <row r="28" spans="1:7" ht="15" customHeight="1" x14ac:dyDescent="0.25">
      <c r="A28" s="1"/>
      <c r="B28" s="100" t="s">
        <v>162</v>
      </c>
      <c r="C28" s="101"/>
      <c r="D28" s="102"/>
      <c r="E28" s="10">
        <v>-866279.93325174903</v>
      </c>
      <c r="F28" s="11" t="s">
        <v>3</v>
      </c>
      <c r="G28" s="1"/>
    </row>
    <row r="29" spans="1:7" x14ac:dyDescent="0.25">
      <c r="A29" s="1"/>
      <c r="B29" s="55" t="s">
        <v>250</v>
      </c>
      <c r="C29" s="56"/>
      <c r="D29" s="56"/>
      <c r="E29" s="56"/>
      <c r="F29" s="20"/>
      <c r="G29" s="1"/>
    </row>
    <row r="30" spans="1:7" ht="15.6" customHeight="1" x14ac:dyDescent="0.25">
      <c r="A30" s="1"/>
      <c r="B30" s="105" t="s">
        <v>251</v>
      </c>
      <c r="C30" s="106"/>
      <c r="D30" s="107"/>
      <c r="E30" s="10">
        <v>0</v>
      </c>
      <c r="F30" s="11" t="s">
        <v>3</v>
      </c>
      <c r="G30" s="1"/>
    </row>
    <row r="31" spans="1:7" x14ac:dyDescent="0.25">
      <c r="A31" s="1"/>
      <c r="B31" s="55" t="s">
        <v>29</v>
      </c>
      <c r="C31" s="56"/>
      <c r="D31" s="56"/>
      <c r="E31" s="12">
        <f>E20+E22+E26+E28+E30</f>
        <v>61444208.282682575</v>
      </c>
      <c r="F31" s="13" t="s">
        <v>3</v>
      </c>
      <c r="G31" s="1"/>
    </row>
    <row r="32" spans="1:7" ht="27.75" customHeight="1" x14ac:dyDescent="0.25">
      <c r="A32" s="1"/>
      <c r="B32" s="91" t="s">
        <v>192</v>
      </c>
      <c r="C32" s="92"/>
      <c r="D32" s="92"/>
      <c r="E32" s="92"/>
      <c r="F32" s="93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</sheetData>
  <sheetProtection algorithmName="SHA-512" hashValue="py/5N0asI8nJ5rGefGzXjNuNIbTUAMyyxbE+JzwK2xRRZPqFs8njZWa/ywNruhckmeZ6rD8X8CgO5TMLsMwXZg==" saltValue="ri6oyKSSsjvSXPiUiuTVLQ==" spinCount="100000" sheet="1" objects="1" scenarios="1"/>
  <mergeCells count="21">
    <mergeCell ref="B13:D13"/>
    <mergeCell ref="B14:D14"/>
    <mergeCell ref="B15:D15"/>
    <mergeCell ref="B22:D22"/>
    <mergeCell ref="B3:F4"/>
    <mergeCell ref="B9:D9"/>
    <mergeCell ref="B10:D10"/>
    <mergeCell ref="B11:D11"/>
    <mergeCell ref="B12:D12"/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7.425781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108" t="s">
        <v>115</v>
      </c>
      <c r="C1" s="108"/>
      <c r="D1" s="108"/>
      <c r="E1" s="108"/>
      <c r="F1" s="108"/>
      <c r="G1" s="108"/>
      <c r="H1" s="108"/>
      <c r="I1" s="1"/>
    </row>
    <row r="2" spans="1:9" ht="15" customHeight="1" x14ac:dyDescent="0.25">
      <c r="A2" s="1"/>
      <c r="B2" s="108"/>
      <c r="C2" s="108"/>
      <c r="D2" s="108"/>
      <c r="E2" s="108"/>
      <c r="F2" s="108"/>
      <c r="G2" s="108"/>
      <c r="H2" s="108"/>
      <c r="I2" s="1"/>
    </row>
    <row r="3" spans="1:9" ht="15" customHeight="1" x14ac:dyDescent="0.25">
      <c r="A3" s="1"/>
      <c r="B3" s="108"/>
      <c r="C3" s="108"/>
      <c r="D3" s="108"/>
      <c r="E3" s="108"/>
      <c r="F3" s="108"/>
      <c r="G3" s="108"/>
      <c r="H3" s="108"/>
      <c r="I3" s="1"/>
    </row>
    <row r="4" spans="1:9" x14ac:dyDescent="0.25">
      <c r="A4" s="1"/>
      <c r="B4" s="115" t="s">
        <v>54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43</v>
      </c>
      <c r="C5" s="113"/>
      <c r="D5" s="113"/>
      <c r="E5" s="113"/>
      <c r="F5" s="114"/>
      <c r="G5" s="24">
        <v>15738902.464875489</v>
      </c>
      <c r="H5" s="14" t="s">
        <v>3</v>
      </c>
      <c r="I5" s="1"/>
    </row>
    <row r="6" spans="1:9" x14ac:dyDescent="0.25">
      <c r="A6" s="1"/>
      <c r="B6" s="112" t="s">
        <v>44</v>
      </c>
      <c r="C6" s="113"/>
      <c r="D6" s="113"/>
      <c r="E6" s="113"/>
      <c r="F6" s="114"/>
      <c r="G6" s="24">
        <f>G5*'Fane 12. Nøgletal'!C29</f>
        <v>314778.04929750977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55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45</v>
      </c>
      <c r="C10" s="113"/>
      <c r="D10" s="113"/>
      <c r="E10" s="113"/>
      <c r="F10" s="114"/>
      <c r="G10" s="24">
        <f>(G5-G6)*(1+'Fane 12. Nøgletal'!C9)</f>
        <v>15620010.795655819</v>
      </c>
      <c r="H10" s="14" t="s">
        <v>3</v>
      </c>
      <c r="I10" s="1"/>
    </row>
    <row r="11" spans="1:9" x14ac:dyDescent="0.25">
      <c r="A11" s="1"/>
      <c r="B11" s="118" t="s">
        <v>46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47</v>
      </c>
      <c r="C12" s="113"/>
      <c r="D12" s="113"/>
      <c r="E12" s="113"/>
      <c r="F12" s="114"/>
      <c r="G12" s="24">
        <f>(G10+G11)*'Fane 12. Nøgletal'!C29</f>
        <v>312400.21591311641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56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48</v>
      </c>
      <c r="C16" s="113"/>
      <c r="D16" s="113"/>
      <c r="E16" s="113"/>
      <c r="F16" s="114"/>
      <c r="G16" s="24">
        <f>(G10+G11-G12)*(1+'Fane 12. Nøgletal'!C11)</f>
        <v>15566309.198540352</v>
      </c>
      <c r="H16" s="14" t="s">
        <v>3</v>
      </c>
      <c r="I16" s="1"/>
    </row>
    <row r="17" spans="1:9" x14ac:dyDescent="0.25">
      <c r="A17" s="1"/>
      <c r="B17" s="112" t="s">
        <v>125</v>
      </c>
      <c r="C17" s="113"/>
      <c r="D17" s="113"/>
      <c r="E17" s="113"/>
      <c r="F17" s="114"/>
      <c r="G17" s="24">
        <v>-319079.72669427894</v>
      </c>
      <c r="H17" s="14" t="s">
        <v>3</v>
      </c>
      <c r="I17" s="1"/>
    </row>
    <row r="18" spans="1:9" x14ac:dyDescent="0.25">
      <c r="A18" s="1"/>
      <c r="B18" s="118" t="s">
        <v>49</v>
      </c>
      <c r="C18" s="119"/>
      <c r="D18" s="119"/>
      <c r="E18" s="119"/>
      <c r="F18" s="120"/>
      <c r="G18" s="24">
        <v>0</v>
      </c>
      <c r="H18" s="14" t="s">
        <v>3</v>
      </c>
      <c r="I18" s="1"/>
    </row>
    <row r="19" spans="1:9" x14ac:dyDescent="0.25">
      <c r="A19" s="1"/>
      <c r="B19" s="112" t="s">
        <v>50</v>
      </c>
      <c r="C19" s="113"/>
      <c r="D19" s="113"/>
      <c r="E19" s="113"/>
      <c r="F19" s="114"/>
      <c r="G19" s="24">
        <f>SUM(G16:G18)*'Fane 12. Nøgletal'!C29</f>
        <v>304944.58943692147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57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51</v>
      </c>
      <c r="C23" s="113"/>
      <c r="D23" s="113"/>
      <c r="E23" s="113"/>
      <c r="F23" s="114"/>
      <c r="G23" s="24">
        <f>(SUM(G16:G18)-G19)*(1+'Fane 12. Nøgletal'!C11)</f>
        <v>15194809.496921865</v>
      </c>
      <c r="H23" s="14" t="s">
        <v>3</v>
      </c>
      <c r="I23" s="1"/>
    </row>
    <row r="24" spans="1:9" x14ac:dyDescent="0.25">
      <c r="A24" s="1"/>
      <c r="B24" s="118" t="s">
        <v>52</v>
      </c>
      <c r="C24" s="119"/>
      <c r="D24" s="119"/>
      <c r="E24" s="119"/>
      <c r="F24" s="120"/>
      <c r="G24" s="24">
        <v>100231.41272364001</v>
      </c>
      <c r="H24" s="14" t="s">
        <v>3</v>
      </c>
      <c r="I24" s="1"/>
    </row>
    <row r="25" spans="1:9" x14ac:dyDescent="0.25">
      <c r="A25" s="1"/>
      <c r="B25" s="112" t="s">
        <v>53</v>
      </c>
      <c r="C25" s="113"/>
      <c r="D25" s="113"/>
      <c r="E25" s="113"/>
      <c r="F25" s="114"/>
      <c r="G25" s="24">
        <f>(G23+G24)*'Fane 12. Nøgletal'!C29</f>
        <v>305900.81819291011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175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60</v>
      </c>
      <c r="C29" s="113"/>
      <c r="D29" s="113"/>
      <c r="E29" s="113"/>
      <c r="F29" s="114"/>
      <c r="G29" s="24">
        <f>(G23+G24-G25)*(1+'Fane 12. Nøgletal'!C13)</f>
        <v>15172007.600568317</v>
      </c>
      <c r="H29" s="14" t="s">
        <v>3</v>
      </c>
      <c r="I29" s="1"/>
    </row>
    <row r="30" spans="1:9" x14ac:dyDescent="0.25">
      <c r="A30" s="1"/>
      <c r="B30" s="112" t="s">
        <v>147</v>
      </c>
      <c r="C30" s="113"/>
      <c r="D30" s="113"/>
      <c r="E30" s="113"/>
      <c r="F30" s="114"/>
      <c r="G30" s="24">
        <f>SUM('Fane 3. Omkostninger i ØR2021'!E10,'Fane 3. Omkostninger i ØR2021'!E12,'Fane 3. Omkostninger i ØR2021'!E14)*(1+'Fane 12. Nøgletal'!C13)</f>
        <v>37727.986484159999</v>
      </c>
      <c r="H30" s="14" t="s">
        <v>3</v>
      </c>
      <c r="I30" s="1"/>
    </row>
    <row r="31" spans="1:9" x14ac:dyDescent="0.25">
      <c r="A31" s="1"/>
      <c r="B31" s="112" t="s">
        <v>159</v>
      </c>
      <c r="C31" s="113"/>
      <c r="D31" s="113"/>
      <c r="E31" s="113"/>
      <c r="F31" s="114"/>
      <c r="G31" s="24">
        <f>(G29+G30)*'Fane 12. Nøgletal'!C29</f>
        <v>304194.71174104954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176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80</v>
      </c>
      <c r="C35" s="113"/>
      <c r="D35" s="113"/>
      <c r="E35" s="113"/>
      <c r="F35" s="114"/>
      <c r="G35" s="24">
        <f>(G29+G30-G31)*(1+'Fane 12. Nøgletal'!C13)</f>
        <v>15087388.473990228</v>
      </c>
      <c r="H35" s="14" t="s">
        <v>3</v>
      </c>
      <c r="I35" s="1"/>
    </row>
    <row r="36" spans="1:9" x14ac:dyDescent="0.25">
      <c r="A36" s="1"/>
      <c r="B36" s="37" t="s">
        <v>193</v>
      </c>
      <c r="C36" s="61"/>
      <c r="D36" s="61"/>
      <c r="E36" s="61"/>
      <c r="F36" s="62"/>
      <c r="G36" s="24">
        <f>SUM('Fane 2.1. Økonomisk ramme 2022'!C10)*(1+'Fane 12. Nøgletal'!C14)</f>
        <v>36814.389365344534</v>
      </c>
      <c r="H36" s="14" t="s">
        <v>3</v>
      </c>
      <c r="I36" s="1"/>
    </row>
    <row r="37" spans="1:9" x14ac:dyDescent="0.25">
      <c r="A37" s="1"/>
      <c r="B37" s="112" t="s">
        <v>222</v>
      </c>
      <c r="C37" s="113"/>
      <c r="D37" s="113"/>
      <c r="E37" s="113"/>
      <c r="F37" s="114"/>
      <c r="G37" s="24">
        <f>SUM('Fane 2.1. Økonomisk ramme 2022'!C12,'Fane 2.1. Økonomisk ramme 2022'!C14,'Fane 2.1. Økonomisk ramme 2022'!C16)*(1+'Fane 12. Nøgletal'!C14)</f>
        <v>731044.11258627009</v>
      </c>
      <c r="H37" s="14" t="s">
        <v>3</v>
      </c>
      <c r="I37" s="1"/>
    </row>
    <row r="38" spans="1:9" x14ac:dyDescent="0.25">
      <c r="A38" s="1"/>
      <c r="B38" s="112" t="s">
        <v>177</v>
      </c>
      <c r="C38" s="113"/>
      <c r="D38" s="113"/>
      <c r="E38" s="113"/>
      <c r="F38" s="114"/>
      <c r="G38" s="24">
        <f>(G35+G37)*'Fane 12. Nøgletal'!C29</f>
        <v>316368.65173152997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81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79</v>
      </c>
      <c r="C42" s="113"/>
      <c r="D42" s="113"/>
      <c r="E42" s="113"/>
      <c r="F42" s="114"/>
      <c r="G42" s="24">
        <f>(G35+G37-G38)*(1+'Fane 12. Nøgletal'!C14)</f>
        <v>15553220.745829958</v>
      </c>
      <c r="H42" s="14" t="s">
        <v>3</v>
      </c>
      <c r="I42" s="1"/>
    </row>
    <row r="43" spans="1:9" x14ac:dyDescent="0.25">
      <c r="A43" s="1"/>
      <c r="B43" s="112" t="s">
        <v>92</v>
      </c>
      <c r="C43" s="113"/>
      <c r="D43" s="113"/>
      <c r="E43" s="113"/>
      <c r="F43" s="114"/>
      <c r="G43" s="24">
        <f>-'Fane 11. Bortfald'!C19*(1+'Fane 12. Nøgletal'!C14)</f>
        <v>0</v>
      </c>
      <c r="H43" s="14" t="s">
        <v>3</v>
      </c>
      <c r="I43" s="1"/>
    </row>
    <row r="44" spans="1:9" x14ac:dyDescent="0.25">
      <c r="A44" s="1"/>
      <c r="B44" s="112" t="s">
        <v>61</v>
      </c>
      <c r="C44" s="113"/>
      <c r="D44" s="113"/>
      <c r="E44" s="113"/>
      <c r="F44" s="114"/>
      <c r="G44" s="24">
        <f>(G42+G43)*'Fane 12. Nøgletal'!C29</f>
        <v>311064.41491659917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148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149</v>
      </c>
      <c r="C48" s="113"/>
      <c r="D48" s="113"/>
      <c r="E48" s="113"/>
      <c r="F48" s="114"/>
      <c r="G48" s="24">
        <f>(G42+G43-G44)*(1+'Fane 12. Nøgletal'!C14)</f>
        <v>15292455.446805375</v>
      </c>
      <c r="H48" s="14" t="s">
        <v>3</v>
      </c>
      <c r="I48" s="1"/>
    </row>
    <row r="49" spans="1:9" x14ac:dyDescent="0.25">
      <c r="A49" s="1"/>
      <c r="B49" s="112" t="s">
        <v>150</v>
      </c>
      <c r="C49" s="113"/>
      <c r="D49" s="113"/>
      <c r="E49" s="113"/>
      <c r="F49" s="114"/>
      <c r="G49" s="24">
        <f>-'Fane 11. Bortfald'!C26*(1+'Fane 12. Nøgletal'!C14)</f>
        <v>0</v>
      </c>
      <c r="H49" s="14" t="s">
        <v>3</v>
      </c>
      <c r="I49" s="1"/>
    </row>
    <row r="50" spans="1:9" x14ac:dyDescent="0.25">
      <c r="A50" s="1"/>
      <c r="B50" s="112" t="s">
        <v>151</v>
      </c>
      <c r="C50" s="113"/>
      <c r="D50" s="113"/>
      <c r="E50" s="113"/>
      <c r="F50" s="114"/>
      <c r="G50" s="24">
        <f>(G48+G49)*'Fane 12. Nøgletal'!C29</f>
        <v>305849.10893610748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199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200</v>
      </c>
      <c r="C54" s="113"/>
      <c r="D54" s="113"/>
      <c r="E54" s="113"/>
      <c r="F54" s="114"/>
      <c r="G54" s="24">
        <f>(G48+G49-G50)*(1+'Fane 12. Nøgletal'!C14)</f>
        <v>15036062.138784237</v>
      </c>
      <c r="H54" s="14" t="s">
        <v>3</v>
      </c>
      <c r="I54" s="1"/>
    </row>
    <row r="55" spans="1:9" x14ac:dyDescent="0.25">
      <c r="A55" s="1"/>
      <c r="B55" s="112" t="s">
        <v>201</v>
      </c>
      <c r="C55" s="113"/>
      <c r="D55" s="113"/>
      <c r="E55" s="113"/>
      <c r="F55" s="114"/>
      <c r="G55" s="24">
        <f>-'Fane 11. Bortfald'!C33*(1+'Fane 12. Nøgletal'!C14)</f>
        <v>0</v>
      </c>
      <c r="H55" s="14" t="s">
        <v>3</v>
      </c>
      <c r="I55" s="1"/>
    </row>
    <row r="56" spans="1:9" x14ac:dyDescent="0.25">
      <c r="A56" s="1"/>
      <c r="B56" s="112" t="s">
        <v>202</v>
      </c>
      <c r="C56" s="113"/>
      <c r="D56" s="113"/>
      <c r="E56" s="113"/>
      <c r="F56" s="114"/>
      <c r="G56" s="24">
        <f>(G54+G55)*'Fane 12. Nøgletal'!C29</f>
        <v>300721.24277568475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2VPhTIqeuAYAVLKgmaGyMqc/EHpL8DQiePsIpRHfyDEPenxcqmWjyOOXV/4Aomgpbc5vLhs3L/7AHa+mzTbq0g==" saltValue="SA2A9gj6q0NzzoHFcyH+bw==" spinCount="100000" sheet="1" objects="1" scenarios="1"/>
  <mergeCells count="37"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  <mergeCell ref="B25:F25"/>
    <mergeCell ref="B35:F35"/>
    <mergeCell ref="B30:F30"/>
    <mergeCell ref="B31:F31"/>
    <mergeCell ref="B22:H22"/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7"/>
  <sheetViews>
    <sheetView showGridLines="0" showWhiteSpace="0" zoomScale="120" zoomScaleNormal="12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9" style="2" customWidth="1"/>
    <col min="9" max="9" width="6.7109375" style="2" customWidth="1"/>
    <col min="10" max="16384" width="9.140625" style="2"/>
  </cols>
  <sheetData>
    <row r="1" spans="1:9" x14ac:dyDescent="0.25">
      <c r="A1" s="1"/>
      <c r="B1" s="121" t="s">
        <v>116</v>
      </c>
      <c r="C1" s="122"/>
      <c r="D1" s="122"/>
      <c r="E1" s="122"/>
      <c r="F1" s="122"/>
      <c r="G1" s="122"/>
      <c r="H1" s="122"/>
      <c r="I1" s="1"/>
    </row>
    <row r="2" spans="1:9" ht="19.899999999999999" customHeight="1" x14ac:dyDescent="0.25">
      <c r="A2" s="1"/>
      <c r="B2" s="122"/>
      <c r="C2" s="122"/>
      <c r="D2" s="122"/>
      <c r="E2" s="122"/>
      <c r="F2" s="122"/>
      <c r="G2" s="122"/>
      <c r="H2" s="122"/>
      <c r="I2" s="1"/>
    </row>
    <row r="3" spans="1:9" ht="15" customHeight="1" x14ac:dyDescent="0.25">
      <c r="A3" s="1"/>
      <c r="B3" s="123"/>
      <c r="C3" s="123"/>
      <c r="D3" s="123"/>
      <c r="E3" s="123"/>
      <c r="F3" s="123"/>
      <c r="G3" s="123"/>
      <c r="H3" s="123"/>
      <c r="I3" s="1"/>
    </row>
    <row r="4" spans="1:9" x14ac:dyDescent="0.25">
      <c r="A4" s="1"/>
      <c r="B4" s="115" t="s">
        <v>58</v>
      </c>
      <c r="C4" s="116"/>
      <c r="D4" s="116"/>
      <c r="E4" s="116"/>
      <c r="F4" s="116"/>
      <c r="G4" s="116"/>
      <c r="H4" s="117"/>
      <c r="I4" s="1"/>
    </row>
    <row r="5" spans="1:9" x14ac:dyDescent="0.25">
      <c r="A5" s="1"/>
      <c r="B5" s="112" t="s">
        <v>62</v>
      </c>
      <c r="C5" s="113"/>
      <c r="D5" s="113"/>
      <c r="E5" s="113"/>
      <c r="F5" s="114"/>
      <c r="G5" s="24">
        <v>15496287.087623827</v>
      </c>
      <c r="H5" s="14" t="s">
        <v>3</v>
      </c>
      <c r="I5" s="1"/>
    </row>
    <row r="6" spans="1:9" x14ac:dyDescent="0.25">
      <c r="A6" s="1"/>
      <c r="B6" s="112" t="s">
        <v>59</v>
      </c>
      <c r="C6" s="113"/>
      <c r="D6" s="113"/>
      <c r="E6" s="113"/>
      <c r="F6" s="114"/>
      <c r="G6" s="24">
        <f>G5*'Fane 12. Nøgletal'!C19</f>
        <v>141016.21249737684</v>
      </c>
      <c r="H6" s="14" t="s">
        <v>3</v>
      </c>
      <c r="I6" s="1"/>
    </row>
    <row r="7" spans="1:9" x14ac:dyDescent="0.25">
      <c r="A7" s="1"/>
      <c r="B7" s="55"/>
      <c r="C7" s="56"/>
      <c r="D7" s="56"/>
      <c r="E7" s="56"/>
      <c r="F7" s="56"/>
      <c r="G7" s="56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115" t="s">
        <v>63</v>
      </c>
      <c r="C9" s="116"/>
      <c r="D9" s="116"/>
      <c r="E9" s="116"/>
      <c r="F9" s="116"/>
      <c r="G9" s="116"/>
      <c r="H9" s="117"/>
      <c r="I9" s="1"/>
    </row>
    <row r="10" spans="1:9" x14ac:dyDescent="0.25">
      <c r="A10" s="1"/>
      <c r="B10" s="112" t="s">
        <v>64</v>
      </c>
      <c r="C10" s="113"/>
      <c r="D10" s="113"/>
      <c r="E10" s="113"/>
      <c r="F10" s="114"/>
      <c r="G10" s="24">
        <f>(G5-G6)*(1+'Fane 12. Nøgletal'!C9)</f>
        <v>15550282.815240556</v>
      </c>
      <c r="H10" s="14" t="s">
        <v>3</v>
      </c>
      <c r="I10" s="1"/>
    </row>
    <row r="11" spans="1:9" x14ac:dyDescent="0.25">
      <c r="A11" s="1"/>
      <c r="B11" s="118" t="s">
        <v>65</v>
      </c>
      <c r="C11" s="119"/>
      <c r="D11" s="119"/>
      <c r="E11" s="119"/>
      <c r="F11" s="120"/>
      <c r="G11" s="24">
        <v>0</v>
      </c>
      <c r="H11" s="14" t="s">
        <v>3</v>
      </c>
      <c r="I11" s="1"/>
    </row>
    <row r="12" spans="1:9" x14ac:dyDescent="0.25">
      <c r="A12" s="1"/>
      <c r="B12" s="112" t="s">
        <v>66</v>
      </c>
      <c r="C12" s="113"/>
      <c r="D12" s="113"/>
      <c r="E12" s="113"/>
      <c r="F12" s="114"/>
      <c r="G12" s="24">
        <f>G10*'Fane 12. Nøgletal'!C19+G11*'Fane 12. Nøgletal'!C20</f>
        <v>141507.57361868906</v>
      </c>
      <c r="H12" s="14" t="s">
        <v>3</v>
      </c>
      <c r="I12" s="1"/>
    </row>
    <row r="13" spans="1:9" x14ac:dyDescent="0.25">
      <c r="A13" s="1"/>
      <c r="B13" s="55"/>
      <c r="C13" s="56"/>
      <c r="D13" s="56"/>
      <c r="E13" s="56"/>
      <c r="F13" s="56"/>
      <c r="G13" s="56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15" t="s">
        <v>67</v>
      </c>
      <c r="C15" s="116"/>
      <c r="D15" s="116"/>
      <c r="E15" s="116"/>
      <c r="F15" s="116"/>
      <c r="G15" s="116"/>
      <c r="H15" s="117"/>
      <c r="I15" s="1"/>
    </row>
    <row r="16" spans="1:9" x14ac:dyDescent="0.25">
      <c r="A16" s="1"/>
      <c r="B16" s="112" t="s">
        <v>68</v>
      </c>
      <c r="C16" s="113"/>
      <c r="D16" s="113"/>
      <c r="E16" s="113"/>
      <c r="F16" s="114"/>
      <c r="G16" s="24">
        <f>(G10+G11-G12)*(1+'Fane 12. Nøgletal'!C11)</f>
        <v>15669183.543205274</v>
      </c>
      <c r="H16" s="14" t="s">
        <v>3</v>
      </c>
      <c r="I16" s="1"/>
    </row>
    <row r="17" spans="1:9" x14ac:dyDescent="0.25">
      <c r="A17" s="1"/>
      <c r="B17" s="112" t="s">
        <v>126</v>
      </c>
      <c r="C17" s="113"/>
      <c r="D17" s="113"/>
      <c r="E17" s="113"/>
      <c r="F17" s="114"/>
      <c r="G17" s="24">
        <v>-309900.20554507722</v>
      </c>
      <c r="H17" s="14" t="s">
        <v>3</v>
      </c>
      <c r="I17" s="1"/>
    </row>
    <row r="18" spans="1:9" x14ac:dyDescent="0.25">
      <c r="A18" s="1"/>
      <c r="B18" s="118" t="s">
        <v>69</v>
      </c>
      <c r="C18" s="119"/>
      <c r="D18" s="119"/>
      <c r="E18" s="119"/>
      <c r="F18" s="120"/>
      <c r="G18" s="24">
        <v>71620.245411890923</v>
      </c>
      <c r="H18" s="14" t="s">
        <v>3</v>
      </c>
      <c r="I18" s="1"/>
    </row>
    <row r="19" spans="1:9" x14ac:dyDescent="0.25">
      <c r="A19" s="1"/>
      <c r="B19" s="112" t="s">
        <v>70</v>
      </c>
      <c r="C19" s="113"/>
      <c r="D19" s="113"/>
      <c r="E19" s="113"/>
      <c r="F19" s="114"/>
      <c r="G19" s="24">
        <f>(G16+G17+G18)*'Fane 12. Nøgletal'!C21</f>
        <v>134248.86117272716</v>
      </c>
      <c r="H19" s="14" t="s">
        <v>3</v>
      </c>
      <c r="I19" s="1"/>
    </row>
    <row r="20" spans="1:9" x14ac:dyDescent="0.25">
      <c r="A20" s="1"/>
      <c r="B20" s="55"/>
      <c r="C20" s="56"/>
      <c r="D20" s="56"/>
      <c r="E20" s="56"/>
      <c r="F20" s="56"/>
      <c r="G20" s="56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15" t="s">
        <v>71</v>
      </c>
      <c r="C22" s="116"/>
      <c r="D22" s="116"/>
      <c r="E22" s="116"/>
      <c r="F22" s="116"/>
      <c r="G22" s="116"/>
      <c r="H22" s="117"/>
      <c r="I22" s="1"/>
    </row>
    <row r="23" spans="1:9" x14ac:dyDescent="0.25">
      <c r="A23" s="1"/>
      <c r="B23" s="112" t="s">
        <v>72</v>
      </c>
      <c r="C23" s="113"/>
      <c r="D23" s="113"/>
      <c r="E23" s="113"/>
      <c r="F23" s="114"/>
      <c r="G23" s="24">
        <f>(SUM(G16:G18)-G19)*(1+'Fane 12. Nøgletal'!C11)</f>
        <v>15555168.186699459</v>
      </c>
      <c r="H23" s="14" t="s">
        <v>3</v>
      </c>
      <c r="I23" s="1"/>
    </row>
    <row r="24" spans="1:9" x14ac:dyDescent="0.25">
      <c r="A24" s="1"/>
      <c r="B24" s="118" t="s">
        <v>73</v>
      </c>
      <c r="C24" s="119"/>
      <c r="D24" s="119"/>
      <c r="E24" s="119"/>
      <c r="F24" s="120"/>
      <c r="G24" s="24">
        <v>4222.5794334900002</v>
      </c>
      <c r="H24" s="14" t="s">
        <v>3</v>
      </c>
      <c r="I24" s="1"/>
    </row>
    <row r="25" spans="1:9" x14ac:dyDescent="0.25">
      <c r="A25" s="1"/>
      <c r="B25" s="112" t="s">
        <v>74</v>
      </c>
      <c r="C25" s="113"/>
      <c r="D25" s="113"/>
      <c r="E25" s="113"/>
      <c r="F25" s="114"/>
      <c r="G25" s="24">
        <f>G23*'Fane 12. Nøgletal'!C21+G24*'Fane 12. Nøgletal'!C22</f>
        <v>135449.8844801964</v>
      </c>
      <c r="H25" s="14" t="s">
        <v>3</v>
      </c>
      <c r="I25" s="1"/>
    </row>
    <row r="26" spans="1:9" x14ac:dyDescent="0.25">
      <c r="A26" s="1"/>
      <c r="B26" s="55"/>
      <c r="C26" s="56"/>
      <c r="D26" s="56"/>
      <c r="E26" s="56"/>
      <c r="F26" s="56"/>
      <c r="G26" s="56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15" t="s">
        <v>173</v>
      </c>
      <c r="C28" s="116"/>
      <c r="D28" s="116"/>
      <c r="E28" s="116"/>
      <c r="F28" s="116"/>
      <c r="G28" s="116"/>
      <c r="H28" s="117"/>
      <c r="I28" s="1"/>
    </row>
    <row r="29" spans="1:9" x14ac:dyDescent="0.25">
      <c r="A29" s="1"/>
      <c r="B29" s="112" t="s">
        <v>75</v>
      </c>
      <c r="C29" s="113"/>
      <c r="D29" s="113"/>
      <c r="E29" s="113"/>
      <c r="F29" s="114"/>
      <c r="G29" s="24">
        <f>(G23+G24-G25)*(1+'Fane 12. Nøgletal'!C13)</f>
        <v>15612112.960408915</v>
      </c>
      <c r="H29" s="14" t="s">
        <v>3</v>
      </c>
      <c r="I29" s="1"/>
    </row>
    <row r="30" spans="1:9" x14ac:dyDescent="0.25">
      <c r="A30" s="1"/>
      <c r="B30" s="112" t="s">
        <v>152</v>
      </c>
      <c r="C30" s="113"/>
      <c r="D30" s="113"/>
      <c r="E30" s="113"/>
      <c r="F30" s="114"/>
      <c r="G30" s="24">
        <v>280262.26153547998</v>
      </c>
      <c r="H30" s="14" t="s">
        <v>3</v>
      </c>
      <c r="I30" s="1"/>
    </row>
    <row r="31" spans="1:9" x14ac:dyDescent="0.25">
      <c r="A31" s="1"/>
      <c r="B31" s="112" t="s">
        <v>174</v>
      </c>
      <c r="C31" s="113"/>
      <c r="D31" s="113"/>
      <c r="E31" s="113"/>
      <c r="F31" s="114"/>
      <c r="G31" s="24">
        <f>(G29+G30)*'Fane 12. Nøgletal'!C23</f>
        <v>437040.31860347086</v>
      </c>
      <c r="H31" s="14" t="s">
        <v>3</v>
      </c>
      <c r="I31" s="1"/>
    </row>
    <row r="32" spans="1:9" x14ac:dyDescent="0.25">
      <c r="A32" s="1"/>
      <c r="B32" s="55"/>
      <c r="C32" s="56"/>
      <c r="D32" s="56"/>
      <c r="E32" s="56"/>
      <c r="F32" s="56"/>
      <c r="G32" s="56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15" t="s">
        <v>178</v>
      </c>
      <c r="C34" s="116"/>
      <c r="D34" s="116"/>
      <c r="E34" s="116"/>
      <c r="F34" s="116"/>
      <c r="G34" s="116"/>
      <c r="H34" s="117"/>
      <c r="I34" s="1"/>
    </row>
    <row r="35" spans="1:9" x14ac:dyDescent="0.25">
      <c r="A35" s="1"/>
      <c r="B35" s="112" t="s">
        <v>78</v>
      </c>
      <c r="C35" s="113"/>
      <c r="D35" s="113"/>
      <c r="E35" s="113"/>
      <c r="F35" s="114"/>
      <c r="G35" s="24">
        <f>(G29+G30-G31)*(1+'Fane 12. Nøgletal'!C13)</f>
        <v>15643889.989161683</v>
      </c>
      <c r="H35" s="14" t="s">
        <v>3</v>
      </c>
      <c r="I35" s="1"/>
    </row>
    <row r="36" spans="1:9" s="41" customFormat="1" x14ac:dyDescent="0.25">
      <c r="A36" s="38"/>
      <c r="B36" s="37" t="s">
        <v>223</v>
      </c>
      <c r="C36" s="39"/>
      <c r="D36" s="39"/>
      <c r="E36" s="39"/>
      <c r="F36" s="40"/>
      <c r="G36" s="42">
        <f>SUM('Fane 2.1. Økonomisk ramme 2022'!C11)*(1+'Fane 12. Nøgletal'!C14)</f>
        <v>271366.70396989578</v>
      </c>
      <c r="H36" s="14" t="s">
        <v>3</v>
      </c>
      <c r="I36" s="38"/>
    </row>
    <row r="37" spans="1:9" x14ac:dyDescent="0.25">
      <c r="A37" s="1"/>
      <c r="B37" s="112" t="s">
        <v>194</v>
      </c>
      <c r="C37" s="113"/>
      <c r="D37" s="113"/>
      <c r="E37" s="113"/>
      <c r="F37" s="114"/>
      <c r="G37" s="24">
        <f>SUM('Fane 2.1. Økonomisk ramme 2022'!C13,'Fane 2.1. Økonomisk ramme 2022'!C15,'Fane 2.1. Økonomisk ramme 2022'!C17)*(1+'Fane 12. Nøgletal'!C14)</f>
        <v>230628.64745146004</v>
      </c>
      <c r="H37" s="14" t="s">
        <v>3</v>
      </c>
      <c r="I37" s="1"/>
    </row>
    <row r="38" spans="1:9" x14ac:dyDescent="0.25">
      <c r="A38" s="1"/>
      <c r="B38" s="112" t="s">
        <v>179</v>
      </c>
      <c r="C38" s="113"/>
      <c r="D38" s="113"/>
      <c r="E38" s="113"/>
      <c r="F38" s="114"/>
      <c r="G38" s="24">
        <f>G35*'Fane 12. Nøgletal'!C23+G37*'Fane 12. Nøgletal'!C24</f>
        <v>433620.2786842279</v>
      </c>
      <c r="H38" s="14" t="s">
        <v>3</v>
      </c>
      <c r="I38" s="1"/>
    </row>
    <row r="39" spans="1:9" x14ac:dyDescent="0.25">
      <c r="A39" s="1"/>
      <c r="B39" s="55"/>
      <c r="C39" s="56"/>
      <c r="D39" s="56"/>
      <c r="E39" s="56"/>
      <c r="F39" s="56"/>
      <c r="G39" s="56"/>
      <c r="H39" s="20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15" t="s">
        <v>82</v>
      </c>
      <c r="C41" s="116"/>
      <c r="D41" s="116"/>
      <c r="E41" s="116"/>
      <c r="F41" s="116"/>
      <c r="G41" s="116"/>
      <c r="H41" s="117"/>
      <c r="I41" s="1"/>
    </row>
    <row r="42" spans="1:9" x14ac:dyDescent="0.25">
      <c r="A42" s="1"/>
      <c r="B42" s="112" t="s">
        <v>77</v>
      </c>
      <c r="C42" s="113"/>
      <c r="D42" s="113"/>
      <c r="E42" s="113"/>
      <c r="F42" s="114"/>
      <c r="G42" s="24">
        <f>(G35+G37-G38)*(1+'Fane 12. Nøgletal'!C14)</f>
        <v>15491853.322510082</v>
      </c>
      <c r="H42" s="14" t="s">
        <v>3</v>
      </c>
      <c r="I42" s="1"/>
    </row>
    <row r="43" spans="1:9" x14ac:dyDescent="0.25">
      <c r="A43" s="1"/>
      <c r="B43" s="112" t="s">
        <v>96</v>
      </c>
      <c r="C43" s="113"/>
      <c r="D43" s="113"/>
      <c r="E43" s="113"/>
      <c r="F43" s="114"/>
      <c r="G43" s="24">
        <f>-'Fane 11. Bortfald'!E19*(1+'Fane 12. Nøgletal'!C14)</f>
        <v>0</v>
      </c>
      <c r="H43" s="14" t="s">
        <v>3</v>
      </c>
      <c r="I43" s="1"/>
    </row>
    <row r="44" spans="1:9" x14ac:dyDescent="0.25">
      <c r="A44" s="1"/>
      <c r="B44" s="112" t="s">
        <v>76</v>
      </c>
      <c r="C44" s="113"/>
      <c r="D44" s="113"/>
      <c r="E44" s="113"/>
      <c r="F44" s="114"/>
      <c r="G44" s="24">
        <f>(G42+G43)*'Fane 12. Nøgletal'!C24</f>
        <v>229279.42917314923</v>
      </c>
      <c r="H44" s="14" t="s">
        <v>3</v>
      </c>
      <c r="I44" s="1"/>
    </row>
    <row r="45" spans="1:9" x14ac:dyDescent="0.25">
      <c r="A45" s="1"/>
      <c r="B45" s="55"/>
      <c r="C45" s="56"/>
      <c r="D45" s="56"/>
      <c r="E45" s="56"/>
      <c r="F45" s="56"/>
      <c r="G45" s="56"/>
      <c r="H45" s="20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15" t="s">
        <v>153</v>
      </c>
      <c r="C47" s="116"/>
      <c r="D47" s="116"/>
      <c r="E47" s="116"/>
      <c r="F47" s="116"/>
      <c r="G47" s="116"/>
      <c r="H47" s="117"/>
      <c r="I47" s="1"/>
    </row>
    <row r="48" spans="1:9" x14ac:dyDescent="0.25">
      <c r="A48" s="1"/>
      <c r="B48" s="112" t="s">
        <v>154</v>
      </c>
      <c r="C48" s="113"/>
      <c r="D48" s="113"/>
      <c r="E48" s="113"/>
      <c r="F48" s="114"/>
      <c r="G48" s="24">
        <f>(G42+G43-G44)*(1+'Fane 12. Nøgletal'!C14)</f>
        <v>15312940.387184946</v>
      </c>
      <c r="H48" s="14" t="s">
        <v>3</v>
      </c>
      <c r="I48" s="1"/>
    </row>
    <row r="49" spans="1:9" x14ac:dyDescent="0.25">
      <c r="A49" s="1"/>
      <c r="B49" s="112" t="s">
        <v>155</v>
      </c>
      <c r="C49" s="113"/>
      <c r="D49" s="113"/>
      <c r="E49" s="113"/>
      <c r="F49" s="114"/>
      <c r="G49" s="24">
        <f>-'Fane 11. Bortfald'!E26*(1+'Fane 12. Nøgletal'!C13)</f>
        <v>0</v>
      </c>
      <c r="H49" s="14" t="s">
        <v>3</v>
      </c>
      <c r="I49" s="1"/>
    </row>
    <row r="50" spans="1:9" x14ac:dyDescent="0.25">
      <c r="A50" s="1"/>
      <c r="B50" s="112" t="s">
        <v>156</v>
      </c>
      <c r="C50" s="113"/>
      <c r="D50" s="113"/>
      <c r="E50" s="113"/>
      <c r="F50" s="114"/>
      <c r="G50" s="24">
        <f>(G48+G49)*'Fane 12. Nøgletal'!C24</f>
        <v>226631.51773033722</v>
      </c>
      <c r="H50" s="14" t="s">
        <v>3</v>
      </c>
      <c r="I50" s="1"/>
    </row>
    <row r="51" spans="1:9" x14ac:dyDescent="0.25">
      <c r="A51" s="1"/>
      <c r="B51" s="55"/>
      <c r="C51" s="56"/>
      <c r="D51" s="56"/>
      <c r="E51" s="56"/>
      <c r="F51" s="56"/>
      <c r="G51" s="56"/>
      <c r="H51" s="20"/>
      <c r="I51" s="1"/>
    </row>
    <row r="52" spans="1:9" x14ac:dyDescent="0.2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115" t="s">
        <v>195</v>
      </c>
      <c r="C53" s="116"/>
      <c r="D53" s="116"/>
      <c r="E53" s="116"/>
      <c r="F53" s="116"/>
      <c r="G53" s="116"/>
      <c r="H53" s="117"/>
      <c r="I53" s="1"/>
    </row>
    <row r="54" spans="1:9" x14ac:dyDescent="0.25">
      <c r="A54" s="1"/>
      <c r="B54" s="112" t="s">
        <v>196</v>
      </c>
      <c r="C54" s="113"/>
      <c r="D54" s="113"/>
      <c r="E54" s="113"/>
      <c r="F54" s="114"/>
      <c r="G54" s="24">
        <f>(G48+G49-G50)*(1+'Fane 12. Nøgletal'!C14)</f>
        <v>15136093.68872381</v>
      </c>
      <c r="H54" s="14" t="s">
        <v>3</v>
      </c>
      <c r="I54" s="1"/>
    </row>
    <row r="55" spans="1:9" x14ac:dyDescent="0.25">
      <c r="A55" s="1"/>
      <c r="B55" s="112" t="s">
        <v>197</v>
      </c>
      <c r="C55" s="113"/>
      <c r="D55" s="113"/>
      <c r="E55" s="113"/>
      <c r="F55" s="114"/>
      <c r="G55" s="24">
        <f>-'Fane 11. Bortfald'!E33*(1+'Fane 12. Nøgletal'!C14)</f>
        <v>0</v>
      </c>
      <c r="H55" s="14" t="s">
        <v>3</v>
      </c>
      <c r="I55" s="1"/>
    </row>
    <row r="56" spans="1:9" x14ac:dyDescent="0.25">
      <c r="A56" s="1"/>
      <c r="B56" s="112" t="s">
        <v>198</v>
      </c>
      <c r="C56" s="113"/>
      <c r="D56" s="113"/>
      <c r="E56" s="113"/>
      <c r="F56" s="114"/>
      <c r="G56" s="24">
        <f>(G54+G55)*'Fane 12. Nøgletal'!C24</f>
        <v>224014.18659311239</v>
      </c>
      <c r="H56" s="14" t="s">
        <v>3</v>
      </c>
      <c r="I56" s="1"/>
    </row>
    <row r="57" spans="1:9" x14ac:dyDescent="0.25">
      <c r="A57" s="1"/>
      <c r="B57" s="55"/>
      <c r="C57" s="56"/>
      <c r="D57" s="56"/>
      <c r="E57" s="56"/>
      <c r="F57" s="56"/>
      <c r="G57" s="56"/>
      <c r="H57" s="20"/>
      <c r="I57" s="1"/>
    </row>
  </sheetData>
  <sheetProtection algorithmName="SHA-512" hashValue="M4rlhSKyO2EHEZguUujasOfLqHqW7W8juhwnAprJ5CVHvgKPrB15MSHpGCijlo76okguHrmZl1v5Bgdr1Q+LeQ==" saltValue="fPbVCDsw52ZwonLIPg8uVA==" spinCount="100000" sheet="1" objects="1" scenarios="1"/>
  <mergeCells count="37"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53:H53"/>
    <mergeCell ref="B54:F54"/>
    <mergeCell ref="B55:F55"/>
    <mergeCell ref="B56:F56"/>
    <mergeCell ref="B35:F35"/>
    <mergeCell ref="B44:F44"/>
    <mergeCell ref="B31:F31"/>
    <mergeCell ref="B34:H34"/>
    <mergeCell ref="B22:H22"/>
    <mergeCell ref="B23:F23"/>
    <mergeCell ref="B24:F24"/>
    <mergeCell ref="B25:F25"/>
    <mergeCell ref="B1:H3"/>
    <mergeCell ref="B48:F48"/>
    <mergeCell ref="B49:F49"/>
    <mergeCell ref="B50:F50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47:H47"/>
    <mergeCell ref="B28:H28"/>
    <mergeCell ref="B29:F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9" t="s">
        <v>91</v>
      </c>
      <c r="C3" s="89"/>
      <c r="D3" s="89"/>
      <c r="E3" s="89"/>
      <c r="F3" s="89"/>
      <c r="G3" s="89"/>
      <c r="H3" s="89"/>
      <c r="I3" s="1"/>
    </row>
    <row r="4" spans="1:9" ht="15" customHeight="1" x14ac:dyDescent="0.25">
      <c r="A4" s="1"/>
      <c r="B4" s="89"/>
      <c r="C4" s="89"/>
      <c r="D4" s="89"/>
      <c r="E4" s="89"/>
      <c r="F4" s="89"/>
      <c r="G4" s="89"/>
      <c r="H4" s="89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15" t="s">
        <v>9</v>
      </c>
      <c r="C8" s="116"/>
      <c r="D8" s="116"/>
      <c r="E8" s="116"/>
      <c r="F8" s="116"/>
      <c r="G8" s="116"/>
      <c r="H8" s="117"/>
      <c r="I8" s="1"/>
    </row>
    <row r="9" spans="1:9" x14ac:dyDescent="0.25">
      <c r="A9" s="1"/>
      <c r="B9" s="112" t="s">
        <v>105</v>
      </c>
      <c r="C9" s="113"/>
      <c r="D9" s="113"/>
      <c r="E9" s="113"/>
      <c r="F9" s="114"/>
      <c r="G9" s="44">
        <v>1.5674106788178811E-2</v>
      </c>
      <c r="H9" s="14"/>
      <c r="I9" s="1"/>
    </row>
    <row r="10" spans="1:9" x14ac:dyDescent="0.25">
      <c r="A10" s="1"/>
      <c r="B10" s="112" t="s">
        <v>141</v>
      </c>
      <c r="C10" s="113"/>
      <c r="D10" s="113"/>
      <c r="E10" s="113"/>
      <c r="F10" s="114"/>
      <c r="G10" s="44">
        <v>7.4248670573103621E-3</v>
      </c>
      <c r="H10" s="14"/>
      <c r="I10" s="1"/>
    </row>
    <row r="11" spans="1:9" x14ac:dyDescent="0.25">
      <c r="A11" s="1"/>
      <c r="B11" s="55"/>
      <c r="C11" s="56"/>
      <c r="D11" s="56"/>
      <c r="E11" s="56"/>
      <c r="F11" s="56"/>
      <c r="G11" s="56"/>
      <c r="H11" s="20"/>
      <c r="I11" s="1"/>
    </row>
    <row r="12" spans="1:9" ht="14.25" customHeight="1" x14ac:dyDescent="0.25">
      <c r="A12" s="1"/>
      <c r="B12" s="124" t="s">
        <v>192</v>
      </c>
      <c r="C12" s="125"/>
      <c r="D12" s="125"/>
      <c r="E12" s="125"/>
      <c r="F12" s="125"/>
      <c r="G12" s="125"/>
      <c r="H12" s="126"/>
      <c r="I12" s="1"/>
    </row>
    <row r="13" spans="1:9" ht="12.75" customHeight="1" x14ac:dyDescent="0.25">
      <c r="A13" s="18"/>
      <c r="B13" s="127"/>
      <c r="C13" s="128"/>
      <c r="D13" s="128"/>
      <c r="E13" s="128"/>
      <c r="F13" s="128"/>
      <c r="G13" s="128"/>
      <c r="H13" s="129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5uYmNSshRc8X+poNQTVrRwpVR+T7Yn+cAPBlBNnrZFV+8aZdVDm1p3OYvaDd+kRAi2rAyZ0QQ6knJrS1CkWcgA==" saltValue="Xll/VkHf6c+rzM9ZOOmNb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Kjartan Emil Rasmussen</cp:lastModifiedBy>
  <cp:lastPrinted>2016-06-14T12:57:30Z</cp:lastPrinted>
  <dcterms:created xsi:type="dcterms:W3CDTF">2016-06-02T08:51:18Z</dcterms:created>
  <dcterms:modified xsi:type="dcterms:W3CDTF">2021-09-01T12:46:38Z</dcterms:modified>
</cp:coreProperties>
</file>