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orø Spildevand AS (S088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4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6" i="30" s="1"/>
  <c r="E30" i="21" l="1"/>
  <c r="G60" i="36" s="1"/>
  <c r="C30" i="21"/>
  <c r="G60" i="30" s="1"/>
  <c r="E24" i="21"/>
  <c r="G54" i="36" s="1"/>
  <c r="C24" i="21"/>
  <c r="G54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E22" i="39" s="1"/>
  <c r="C20" i="39"/>
  <c r="C21" i="39"/>
  <c r="E13" i="39"/>
  <c r="E12" i="39"/>
  <c r="C13" i="39"/>
  <c r="C12" i="39"/>
  <c r="C37" i="39"/>
  <c r="C38" i="39" s="1"/>
  <c r="C29" i="39"/>
  <c r="C30" i="39" s="1"/>
  <c r="E38" i="39" l="1"/>
  <c r="E30" i="39"/>
  <c r="C23" i="22" s="1"/>
  <c r="C14" i="39"/>
  <c r="C26" i="2" s="1"/>
  <c r="E14" i="39"/>
  <c r="C27" i="2" s="1"/>
  <c r="C22" i="39"/>
  <c r="C22" i="15" s="1"/>
  <c r="C22" i="22"/>
  <c r="C22" i="23"/>
  <c r="C23" i="23"/>
  <c r="C23" i="15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1" i="37" s="1"/>
  <c r="C12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5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1" i="11"/>
  <c r="E10" i="37" s="1"/>
  <c r="E11" i="37" s="1"/>
  <c r="E12" i="37" s="1"/>
  <c r="C11" i="2" l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27" i="22"/>
  <c r="C13" i="23" l="1"/>
  <c r="C16" i="23" s="1"/>
  <c r="C27" i="23" s="1"/>
</calcChain>
</file>

<file path=xl/sharedStrings.xml><?xml version="1.0" encoding="utf-8"?>
<sst xmlns="http://schemas.openxmlformats.org/spreadsheetml/2006/main" count="704" uniqueCount="285">
  <si>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</si>
  <si>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</si>
  <si>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</si>
  <si>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</si>
  <si>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</si>
  <si>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</si>
  <si>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</si>
  <si>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</si>
  <si>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</si>
  <si>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</si>
  <si>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</si>
  <si>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</si>
  <si>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</si>
  <si>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</si>
  <si>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</si>
  <si>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</si>
  <si>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</si>
  <si>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</si>
  <si>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</si>
  <si>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</si>
  <si>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</si>
  <si>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</si>
  <si>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</si>
  <si>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</si>
  <si>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</si>
  <si>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</si>
  <si>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</si>
  <si>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</si>
  <si>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</si>
  <si>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</si>
  <si>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</si>
  <si>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</si>
  <si>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</si>
  <si>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</si>
  <si>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</si>
  <si>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</si>
  <si>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</si>
  <si>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</si>
  <si>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</si>
  <si>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</si>
  <si>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</si>
  <si>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</si>
  <si>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</si>
  <si>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</si>
  <si>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</si>
  <si>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</si>
  <si>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</si>
  <si>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</si>
  <si>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</si>
  <si>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</si>
  <si>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</si>
  <si>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</si>
  <si>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</si>
  <si>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</si>
  <si>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</si>
  <si>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</si>
  <si>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</si>
  <si>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</si>
  <si>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</si>
  <si>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</si>
  <si>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</si>
  <si>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</si>
  <si>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</si>
  <si>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</si>
  <si>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</si>
  <si>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</si>
  <si>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</si>
  <si>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</si>
  <si>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</si>
  <si>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</si>
  <si>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</si>
  <si>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</si>
  <si>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</si>
  <si>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</si>
  <si>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</si>
  <si>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</si>
  <si>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</si>
  <si>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</si>
  <si>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</si>
  <si>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</si>
  <si>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</si>
  <si>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</si>
  <si>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</si>
  <si>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</si>
  <si>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</si>
  <si>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</si>
  <si>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</si>
  <si>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</si>
  <si>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</si>
  <si>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</si>
  <si>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</si>
  <si>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</si>
  <si>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</si>
  <si>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</si>
  <si>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</si>
  <si>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</si>
  <si>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</si>
  <si>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</si>
  <si>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</si>
  <si>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</si>
  <si>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</si>
  <si>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</si>
  <si>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</si>
  <si>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</si>
  <si>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</si>
  <si>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</si>
  <si>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</si>
  <si>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</si>
  <si>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</si>
  <si>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</si>
  <si>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</si>
  <si>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</si>
  <si>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</si>
  <si>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</si>
  <si>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</si>
  <si>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</si>
  <si>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</si>
  <si>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</si>
  <si>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</si>
  <si>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</si>
  <si>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</si>
  <si>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</si>
  <si>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</si>
  <si>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</si>
  <si>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</si>
  <si>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</si>
  <si>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</si>
  <si>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</si>
  <si>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</si>
  <si>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</si>
  <si>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</si>
  <si>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</si>
  <si>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</si>
  <si>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</si>
  <si>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</si>
  <si>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</si>
  <si>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</si>
  <si>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</si>
  <si>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</si>
  <si>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</si>
  <si>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</si>
  <si>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</si>
  <si>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</si>
  <si>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</si>
  <si>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</si>
  <si>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</si>
  <si>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</si>
  <si>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</si>
  <si>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</si>
  <si>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</si>
  <si>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</si>
  <si>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</si>
  <si>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</si>
  <si>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</si>
  <si>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</si>
  <si>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</si>
  <si>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</si>
  <si>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</si>
  <si>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</si>
  <si>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</si>
  <si>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</si>
  <si>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</si>
  <si>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</si>
  <si>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</si>
  <si>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</si>
  <si>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</si>
  <si>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</si>
  <si>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</si>
  <si>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</si>
  <si>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</si>
  <si>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</si>
  <si>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</si>
  <si>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</si>
  <si>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</si>
  <si>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</si>
  <si>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</si>
  <si>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</si>
  <si>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</si>
  <si>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</si>
  <si>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</si>
  <si>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</si>
  <si>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</si>
  <si>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</si>
  <si>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</si>
  <si>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</si>
  <si>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</si>
  <si>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</si>
  <si>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</si>
  <si>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</si>
  <si>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</si>
  <si>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</si>
  <si>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</si>
  <si>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</si>
  <si>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</si>
  <si>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</si>
  <si>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</si>
  <si>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</si>
  <si>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</si>
  <si>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</si>
  <si>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</si>
  <si>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</si>
  <si>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</si>
  <si>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</si>
  <si>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</si>
  <si>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</si>
  <si>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</si>
  <si>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</si>
  <si>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</si>
  <si>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</si>
  <si>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</si>
  <si>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</si>
  <si>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</si>
  <si>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</si>
  <si>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</si>
  <si>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</si>
  <si>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</si>
  <si>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</si>
  <si>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</si>
  <si>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</si>
  <si>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</si>
  <si>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</si>
  <si>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</si>
  <si>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</si>
  <si>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</si>
  <si>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</si>
  <si>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</si>
  <si>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</si>
  <si>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</si>
  <si>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</si>
  <si>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</si>
  <si>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</si>
  <si>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</si>
  <si>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</si>
  <si>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</si>
  <si>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</si>
  <si>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</si>
  <si>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</si>
  <si>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</si>
  <si>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</si>
  <si>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</si>
  <si>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</si>
  <si>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</si>
  <si>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</si>
  <si>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</si>
  <si>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</si>
  <si>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</si>
  <si>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</si>
  <si>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</si>
  <si>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</si>
  <si>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</si>
  <si>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</si>
  <si>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</si>
  <si>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</si>
  <si>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</si>
  <si>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</si>
  <si>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</si>
  <si>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</si>
  <si>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</si>
  <si>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</si>
  <si>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</si>
  <si>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</si>
  <si>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</si>
  <si>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</si>
  <si>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</si>
  <si>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</si>
  <si>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</si>
  <si>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</si>
  <si>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</si>
  <si>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</si>
  <si>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</si>
  <si>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</si>
  <si>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</si>
  <si>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</si>
  <si>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</si>
  <si>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</si>
  <si>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</si>
  <si>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</si>
  <si>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</si>
  <si>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</si>
  <si>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</si>
  <si>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</si>
  <si>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engangstillæg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</si>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</sst>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" fontId="8" fillId="8" borderId="1" xfId="1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4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5">
      <c r="A8" s="1"/>
      <c r="B8" s="1"/>
      <c r="C8" s="4"/>
      <c r="D8" s="80" t="s">
        <v>283</v>
      </c>
      <c r="E8" s="80"/>
      <c r="F8" s="80"/>
      <c r="G8" s="80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9" t="s">
        <v>5</v>
      </c>
      <c r="E11" s="79"/>
      <c r="F11" s="79"/>
      <c r="G11" s="79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9" t="s">
        <v>245</v>
      </c>
      <c r="E13" s="70"/>
      <c r="F13" s="70"/>
      <c r="G13" s="71"/>
      <c r="H13" s="1"/>
      <c r="I13" s="1"/>
    </row>
    <row r="14" spans="1:9" x14ac:dyDescent="0.45">
      <c r="A14" s="1"/>
      <c r="B14" s="1"/>
      <c r="C14" s="6" t="s">
        <v>17</v>
      </c>
      <c r="D14" s="69" t="s">
        <v>246</v>
      </c>
      <c r="E14" s="70"/>
      <c r="F14" s="70"/>
      <c r="G14" s="71"/>
      <c r="H14" s="1"/>
      <c r="I14" s="1"/>
    </row>
    <row r="15" spans="1:9" x14ac:dyDescent="0.45">
      <c r="A15" s="1"/>
      <c r="B15" s="1"/>
      <c r="C15" s="6" t="s">
        <v>37</v>
      </c>
      <c r="D15" s="69" t="s">
        <v>160</v>
      </c>
      <c r="E15" s="70"/>
      <c r="F15" s="70"/>
      <c r="G15" s="71"/>
      <c r="H15" s="1"/>
      <c r="I15" s="1"/>
    </row>
    <row r="16" spans="1:9" x14ac:dyDescent="0.45">
      <c r="A16" s="1"/>
      <c r="B16" s="1"/>
      <c r="C16" s="6" t="s">
        <v>38</v>
      </c>
      <c r="D16" s="69" t="s">
        <v>247</v>
      </c>
      <c r="E16" s="70"/>
      <c r="F16" s="70"/>
      <c r="G16" s="71"/>
      <c r="H16" s="1"/>
      <c r="I16" s="1"/>
    </row>
    <row r="17" spans="1:9" x14ac:dyDescent="0.45">
      <c r="A17" s="1"/>
      <c r="B17" s="1"/>
      <c r="C17" s="6" t="s">
        <v>144</v>
      </c>
      <c r="D17" s="69" t="s">
        <v>248</v>
      </c>
      <c r="E17" s="70"/>
      <c r="F17" s="70"/>
      <c r="G17" s="71"/>
      <c r="H17" s="1"/>
      <c r="I17" s="1"/>
    </row>
    <row r="18" spans="1:9" x14ac:dyDescent="0.45">
      <c r="A18" s="1"/>
      <c r="B18" s="1"/>
      <c r="C18" s="6" t="s">
        <v>124</v>
      </c>
      <c r="D18" s="81" t="s">
        <v>110</v>
      </c>
      <c r="E18" s="82"/>
      <c r="F18" s="82"/>
      <c r="G18" s="83"/>
      <c r="H18" s="1"/>
      <c r="I18" s="1"/>
    </row>
    <row r="19" spans="1:9" x14ac:dyDescent="0.45">
      <c r="A19" s="1"/>
      <c r="B19" s="1"/>
      <c r="C19" s="6" t="s">
        <v>125</v>
      </c>
      <c r="D19" s="81" t="s">
        <v>111</v>
      </c>
      <c r="E19" s="82"/>
      <c r="F19" s="82"/>
      <c r="G19" s="83"/>
      <c r="H19" s="1"/>
      <c r="I19" s="1"/>
    </row>
    <row r="20" spans="1:9" x14ac:dyDescent="0.45">
      <c r="A20" s="1"/>
      <c r="B20" s="1"/>
      <c r="C20" s="6" t="s">
        <v>7</v>
      </c>
      <c r="D20" s="81" t="s">
        <v>10</v>
      </c>
      <c r="E20" s="82"/>
      <c r="F20" s="82"/>
      <c r="G20" s="83"/>
      <c r="H20" s="1"/>
      <c r="I20" s="1"/>
    </row>
    <row r="21" spans="1:9" x14ac:dyDescent="0.45">
      <c r="A21" s="1"/>
      <c r="B21" s="1"/>
      <c r="C21" s="6" t="s">
        <v>126</v>
      </c>
      <c r="D21" s="73" t="s">
        <v>13</v>
      </c>
      <c r="E21" s="74"/>
      <c r="F21" s="74"/>
      <c r="G21" s="75"/>
      <c r="H21" s="1"/>
      <c r="I21" s="1"/>
    </row>
    <row r="22" spans="1:9" x14ac:dyDescent="0.45">
      <c r="A22" s="1"/>
      <c r="B22" s="1"/>
      <c r="C22" s="6" t="s">
        <v>91</v>
      </c>
      <c r="D22" s="76" t="s">
        <v>249</v>
      </c>
      <c r="E22" s="77"/>
      <c r="F22" s="77"/>
      <c r="G22" s="78"/>
      <c r="H22" s="1"/>
      <c r="I22" s="1"/>
    </row>
    <row r="23" spans="1:9" x14ac:dyDescent="0.45">
      <c r="A23" s="1"/>
      <c r="B23" s="1"/>
      <c r="C23" s="6" t="s">
        <v>8</v>
      </c>
      <c r="D23" s="76" t="s">
        <v>195</v>
      </c>
      <c r="E23" s="77"/>
      <c r="F23" s="77"/>
      <c r="G23" s="78"/>
      <c r="H23" s="1"/>
      <c r="I23" s="1"/>
    </row>
    <row r="24" spans="1:9" x14ac:dyDescent="0.45">
      <c r="A24" s="1"/>
      <c r="B24" s="1"/>
      <c r="C24" s="6" t="s">
        <v>9</v>
      </c>
      <c r="D24" s="76" t="s">
        <v>39</v>
      </c>
      <c r="E24" s="77"/>
      <c r="F24" s="77"/>
      <c r="G24" s="78"/>
      <c r="H24" s="1"/>
      <c r="I24" s="1"/>
    </row>
    <row r="25" spans="1:9" x14ac:dyDescent="0.45">
      <c r="A25" s="1"/>
      <c r="B25" s="1"/>
      <c r="C25" s="6" t="s">
        <v>127</v>
      </c>
      <c r="D25" s="76" t="s">
        <v>92</v>
      </c>
      <c r="E25" s="77"/>
      <c r="F25" s="77"/>
      <c r="G25" s="78"/>
      <c r="H25" s="1"/>
      <c r="I25" s="1"/>
    </row>
    <row r="26" spans="1:9" x14ac:dyDescent="0.45">
      <c r="A26" s="1"/>
      <c r="B26" s="1"/>
      <c r="C26" s="6" t="s">
        <v>128</v>
      </c>
      <c r="D26" s="76" t="s">
        <v>93</v>
      </c>
      <c r="E26" s="77"/>
      <c r="F26" s="77"/>
      <c r="G26" s="78"/>
      <c r="H26" s="1"/>
      <c r="I26" s="1"/>
    </row>
    <row r="27" spans="1:9" x14ac:dyDescent="0.45">
      <c r="A27" s="1"/>
      <c r="B27" s="1"/>
      <c r="C27" s="6" t="s">
        <v>129</v>
      </c>
      <c r="D27" s="76" t="s">
        <v>94</v>
      </c>
      <c r="E27" s="77"/>
      <c r="F27" s="77"/>
      <c r="G27" s="78"/>
      <c r="H27" s="1"/>
      <c r="I27" s="1"/>
    </row>
    <row r="28" spans="1:9" x14ac:dyDescent="0.45">
      <c r="A28" s="1"/>
      <c r="B28" s="1"/>
      <c r="C28" s="6" t="s">
        <v>16</v>
      </c>
      <c r="D28" s="76" t="s">
        <v>161</v>
      </c>
      <c r="E28" s="77"/>
      <c r="F28" s="77"/>
      <c r="G28" s="78"/>
      <c r="H28" s="1"/>
      <c r="I28" s="1"/>
    </row>
    <row r="29" spans="1:9" x14ac:dyDescent="0.45">
      <c r="A29" s="1"/>
      <c r="B29" s="1"/>
      <c r="C29" s="6" t="s">
        <v>41</v>
      </c>
      <c r="D29" s="76" t="s">
        <v>40</v>
      </c>
      <c r="E29" s="77"/>
      <c r="F29" s="77"/>
      <c r="G29" s="78"/>
      <c r="H29" s="1"/>
      <c r="I29" s="1"/>
    </row>
    <row r="30" spans="1:9" x14ac:dyDescent="0.45">
      <c r="A30" s="1"/>
      <c r="B30" s="1"/>
      <c r="C30" s="6" t="s">
        <v>42</v>
      </c>
      <c r="D30" s="84" t="s">
        <v>123</v>
      </c>
      <c r="E30" s="85"/>
      <c r="F30" s="85"/>
      <c r="G30" s="86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wlchY3lcD5ajH31VRiHg3PrQPyGzHeNDhcbmfDi3l2nT9FKzwRS5Q6wWLIv9UiBYB+d5fOJQEnWfJ2xKHK3jDw==" saltValue="atgrb+urePJNJ0jNRDgstg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7" t="s">
        <v>132</v>
      </c>
      <c r="C3" s="87"/>
      <c r="D3" s="87"/>
      <c r="E3" s="1"/>
      <c r="F3" s="1"/>
    </row>
    <row r="4" spans="1:6" ht="15" customHeight="1" x14ac:dyDescent="0.45">
      <c r="A4" s="1"/>
      <c r="B4" s="87"/>
      <c r="C4" s="87"/>
      <c r="D4" s="87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208</v>
      </c>
      <c r="C8" s="96"/>
      <c r="D8" s="97"/>
      <c r="E8" s="1"/>
      <c r="F8" s="1"/>
    </row>
    <row r="9" spans="1:6" ht="15" customHeight="1" x14ac:dyDescent="0.4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45">
      <c r="A10" s="1"/>
      <c r="B10" s="62" t="s">
        <v>262</v>
      </c>
      <c r="C10" s="9">
        <v>226043</v>
      </c>
      <c r="D10" s="14" t="s">
        <v>3</v>
      </c>
      <c r="E10" s="1"/>
      <c r="F10" s="1"/>
    </row>
    <row r="11" spans="1:6" x14ac:dyDescent="0.45">
      <c r="A11" s="1"/>
      <c r="B11" s="62" t="s">
        <v>263</v>
      </c>
      <c r="C11" s="9">
        <v>57553</v>
      </c>
      <c r="D11" s="14" t="s">
        <v>3</v>
      </c>
      <c r="E11" s="1"/>
      <c r="F11" s="1"/>
    </row>
    <row r="12" spans="1:6" x14ac:dyDescent="0.45">
      <c r="A12" s="1"/>
      <c r="B12" s="62" t="s">
        <v>264</v>
      </c>
      <c r="C12" s="9">
        <v>75834.490000000005</v>
      </c>
      <c r="D12" s="14" t="s">
        <v>3</v>
      </c>
      <c r="E12" s="1"/>
      <c r="F12" s="1"/>
    </row>
    <row r="13" spans="1:6" x14ac:dyDescent="0.45">
      <c r="A13" s="1"/>
      <c r="B13" s="62" t="s">
        <v>265</v>
      </c>
      <c r="C13" s="9">
        <v>133014.54</v>
      </c>
      <c r="D13" s="14" t="s">
        <v>3</v>
      </c>
      <c r="E13" s="1"/>
      <c r="F13" s="1"/>
    </row>
    <row r="14" spans="1:6" x14ac:dyDescent="0.45">
      <c r="A14" s="1"/>
      <c r="B14" s="38" t="s">
        <v>209</v>
      </c>
      <c r="C14" s="12">
        <f>SUM(C10:C13)</f>
        <v>492445.03</v>
      </c>
      <c r="D14" s="13" t="s">
        <v>3</v>
      </c>
      <c r="E14" s="1"/>
      <c r="F14" s="1"/>
    </row>
    <row r="15" spans="1:6" x14ac:dyDescent="0.45">
      <c r="A15" s="1"/>
      <c r="B15" s="38" t="s">
        <v>210</v>
      </c>
      <c r="C15" s="12">
        <f>C14*(1+'Fane 14. Nøgletal'!C14)^2</f>
        <v>495700.52992437681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95" t="s">
        <v>142</v>
      </c>
      <c r="C18" s="96"/>
      <c r="D18" s="97"/>
      <c r="E18" s="1"/>
      <c r="F18" s="1"/>
    </row>
    <row r="19" spans="1:6" x14ac:dyDescent="0.45">
      <c r="A19" s="1"/>
      <c r="B19" s="62" t="s">
        <v>116</v>
      </c>
      <c r="C19" s="9">
        <v>0</v>
      </c>
      <c r="D19" s="14" t="s">
        <v>3</v>
      </c>
      <c r="E19" s="1"/>
      <c r="F19" s="1"/>
    </row>
    <row r="20" spans="1:6" x14ac:dyDescent="0.45">
      <c r="A20" s="1"/>
      <c r="B20" s="62" t="s">
        <v>117</v>
      </c>
      <c r="C20" s="9">
        <v>0</v>
      </c>
      <c r="D20" s="14" t="s">
        <v>3</v>
      </c>
      <c r="E20" s="1"/>
      <c r="F20" s="1"/>
    </row>
    <row r="21" spans="1:6" x14ac:dyDescent="0.45">
      <c r="A21" s="1"/>
      <c r="B21" s="62" t="s">
        <v>154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62" t="s">
        <v>211</v>
      </c>
      <c r="C22" s="9">
        <v>0</v>
      </c>
      <c r="D22" s="14" t="s">
        <v>3</v>
      </c>
      <c r="E22" s="1"/>
      <c r="F22" s="1"/>
    </row>
    <row r="23" spans="1:6" x14ac:dyDescent="0.45">
      <c r="A23" s="1"/>
      <c r="B23" s="95"/>
      <c r="C23" s="96"/>
      <c r="D23" s="97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95" t="s">
        <v>115</v>
      </c>
      <c r="C26" s="96"/>
      <c r="D26" s="97"/>
      <c r="E26" s="1"/>
      <c r="F26" s="1"/>
    </row>
    <row r="27" spans="1:6" x14ac:dyDescent="0.45">
      <c r="A27" s="1"/>
      <c r="B27" s="62" t="s">
        <v>116</v>
      </c>
      <c r="C27" s="9">
        <v>0</v>
      </c>
      <c r="D27" s="14" t="s">
        <v>3</v>
      </c>
      <c r="E27" s="1"/>
      <c r="F27" s="1"/>
    </row>
    <row r="28" spans="1:6" x14ac:dyDescent="0.45">
      <c r="A28" s="1"/>
      <c r="B28" s="62" t="s">
        <v>117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62" t="s">
        <v>154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62" t="s">
        <v>211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95"/>
      <c r="C31" s="96"/>
      <c r="D31" s="97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GmNlRueg02s5/U7mCCrRpZh6L6mloYX5Kaa6fa4jB6i7WGEefZVEjnQREuQWGzU4zPd/j2nLuWQl3ki29WJZmQ==" saltValue="85zBx6EBf8tg6L5IOyvP2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86328125" style="2" customWidth="1"/>
    <col min="5" max="5" width="12.26562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3" t="s">
        <v>212</v>
      </c>
      <c r="C3" s="103"/>
      <c r="D3" s="103"/>
      <c r="E3" s="103"/>
      <c r="F3" s="103"/>
      <c r="G3" s="1"/>
    </row>
    <row r="4" spans="1:7" ht="15" customHeight="1" x14ac:dyDescent="0.45">
      <c r="A4" s="1"/>
      <c r="B4" s="103"/>
      <c r="C4" s="103"/>
      <c r="D4" s="103"/>
      <c r="E4" s="103"/>
      <c r="F4" s="103"/>
      <c r="G4" s="1"/>
    </row>
    <row r="5" spans="1:7" ht="15" customHeight="1" x14ac:dyDescent="0.45">
      <c r="A5" s="1"/>
      <c r="B5" s="50"/>
      <c r="C5" s="50"/>
      <c r="D5" s="50"/>
      <c r="E5" s="50"/>
      <c r="F5" s="50"/>
      <c r="G5" s="1"/>
    </row>
    <row r="6" spans="1:7" ht="15" customHeight="1" x14ac:dyDescent="0.45">
      <c r="A6" s="1"/>
      <c r="B6" s="50"/>
      <c r="C6" s="50"/>
      <c r="D6" s="50"/>
      <c r="E6" s="50"/>
      <c r="F6" s="50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267</v>
      </c>
      <c r="C8" s="96"/>
      <c r="D8" s="96"/>
      <c r="E8" s="96"/>
      <c r="F8" s="97"/>
      <c r="G8" s="1"/>
    </row>
    <row r="9" spans="1:7" x14ac:dyDescent="0.45">
      <c r="A9" s="1"/>
      <c r="B9" s="104" t="s">
        <v>268</v>
      </c>
      <c r="C9" s="105"/>
      <c r="D9" s="106"/>
      <c r="E9" s="9">
        <v>2495167.7104557529</v>
      </c>
      <c r="F9" s="14" t="s">
        <v>3</v>
      </c>
      <c r="G9" s="1"/>
    </row>
    <row r="10" spans="1:7" x14ac:dyDescent="0.45">
      <c r="A10" s="1"/>
      <c r="B10" s="104" t="s">
        <v>269</v>
      </c>
      <c r="C10" s="105"/>
      <c r="D10" s="106"/>
      <c r="E10" s="9">
        <v>5971547.4668603614</v>
      </c>
      <c r="F10" s="14" t="s">
        <v>3</v>
      </c>
      <c r="G10" s="1"/>
    </row>
    <row r="11" spans="1:7" x14ac:dyDescent="0.45">
      <c r="A11" s="1"/>
      <c r="B11" s="104" t="s">
        <v>270</v>
      </c>
      <c r="C11" s="105"/>
      <c r="D11" s="106"/>
      <c r="E11" s="9">
        <v>5971547.4668603614</v>
      </c>
      <c r="F11" s="14" t="s">
        <v>3</v>
      </c>
      <c r="G11" s="1"/>
    </row>
    <row r="12" spans="1:7" x14ac:dyDescent="0.45">
      <c r="A12" s="1"/>
      <c r="B12" s="104" t="s">
        <v>271</v>
      </c>
      <c r="C12" s="105"/>
      <c r="D12" s="106"/>
      <c r="E12" s="9">
        <v>3575686.9297179282</v>
      </c>
      <c r="F12" s="14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51.75" customHeight="1" x14ac:dyDescent="0.45">
      <c r="A14" s="1"/>
      <c r="B14" s="98" t="s">
        <v>272</v>
      </c>
      <c r="C14" s="99"/>
      <c r="D14" s="99"/>
      <c r="E14" s="99"/>
      <c r="F14" s="100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273</v>
      </c>
      <c r="C16" s="96"/>
      <c r="D16" s="96"/>
      <c r="E16" s="96"/>
      <c r="F16" s="97"/>
      <c r="G16" s="1"/>
    </row>
    <row r="17" spans="1:7" x14ac:dyDescent="0.45">
      <c r="A17" s="1"/>
      <c r="B17" s="104" t="s">
        <v>274</v>
      </c>
      <c r="C17" s="105"/>
      <c r="D17" s="106"/>
      <c r="E17" s="9">
        <v>0</v>
      </c>
      <c r="F17" s="14" t="s">
        <v>3</v>
      </c>
      <c r="G17" s="1"/>
    </row>
    <row r="18" spans="1:7" x14ac:dyDescent="0.45">
      <c r="A18" s="1"/>
      <c r="B18" s="104" t="s">
        <v>275</v>
      </c>
      <c r="C18" s="105"/>
      <c r="D18" s="106"/>
      <c r="E18" s="9">
        <v>0</v>
      </c>
      <c r="F18" s="14" t="s">
        <v>3</v>
      </c>
      <c r="G18" s="1"/>
    </row>
    <row r="19" spans="1:7" x14ac:dyDescent="0.45">
      <c r="A19" s="1"/>
      <c r="B19" s="38"/>
      <c r="C19" s="32"/>
      <c r="D19" s="32"/>
      <c r="E19" s="32"/>
      <c r="F19" s="20"/>
      <c r="G19" s="1"/>
    </row>
    <row r="20" spans="1:7" ht="29.25" customHeight="1" x14ac:dyDescent="0.45">
      <c r="A20" s="1"/>
      <c r="B20" s="98" t="s">
        <v>276</v>
      </c>
      <c r="C20" s="99"/>
      <c r="D20" s="99"/>
      <c r="E20" s="99"/>
      <c r="F20" s="100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4" t="s">
        <v>213</v>
      </c>
      <c r="C22" s="55"/>
      <c r="D22" s="55"/>
      <c r="E22" s="55"/>
      <c r="F22" s="56"/>
      <c r="G22" s="1"/>
    </row>
    <row r="23" spans="1:7" x14ac:dyDescent="0.45">
      <c r="A23" s="1"/>
      <c r="B23" s="59" t="s">
        <v>214</v>
      </c>
      <c r="C23" s="60"/>
      <c r="D23" s="61"/>
      <c r="E23" s="9">
        <v>50533593.527661383</v>
      </c>
      <c r="F23" s="14" t="s">
        <v>3</v>
      </c>
      <c r="G23" s="1"/>
    </row>
    <row r="24" spans="1:7" x14ac:dyDescent="0.45">
      <c r="A24" s="1"/>
      <c r="B24" s="59" t="s">
        <v>215</v>
      </c>
      <c r="C24" s="60"/>
      <c r="D24" s="61"/>
      <c r="E24" s="9">
        <v>52924472.539999999</v>
      </c>
      <c r="F24" s="14" t="s">
        <v>3</v>
      </c>
      <c r="G24" s="1"/>
    </row>
    <row r="25" spans="1:7" x14ac:dyDescent="0.45">
      <c r="A25" s="1"/>
      <c r="B25" s="59" t="s">
        <v>36</v>
      </c>
      <c r="C25" s="60"/>
      <c r="D25" s="61"/>
      <c r="E25" s="9">
        <v>0</v>
      </c>
      <c r="F25" s="14" t="s">
        <v>3</v>
      </c>
      <c r="G25" s="1"/>
    </row>
    <row r="26" spans="1:7" x14ac:dyDescent="0.45">
      <c r="A26" s="1"/>
      <c r="B26" s="57" t="s">
        <v>277</v>
      </c>
      <c r="C26" s="58"/>
      <c r="D26" s="64"/>
      <c r="E26" s="48">
        <f>E23-(E24-E25)</f>
        <v>-2390879.012338616</v>
      </c>
      <c r="F26" s="17" t="s">
        <v>3</v>
      </c>
      <c r="G26" s="1"/>
    </row>
    <row r="27" spans="1:7" x14ac:dyDescent="0.45">
      <c r="A27" s="1"/>
      <c r="B27" s="38"/>
      <c r="C27" s="32"/>
      <c r="D27" s="32"/>
      <c r="E27" s="32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95" t="s">
        <v>186</v>
      </c>
      <c r="C30" s="96"/>
      <c r="D30" s="96"/>
      <c r="E30" s="96"/>
      <c r="F30" s="97"/>
      <c r="G30" s="1"/>
    </row>
    <row r="31" spans="1:7" x14ac:dyDescent="0.45">
      <c r="A31" s="1"/>
      <c r="B31" s="116" t="s">
        <v>280</v>
      </c>
      <c r="C31" s="117"/>
      <c r="D31" s="118"/>
      <c r="E31" s="9">
        <v>3</v>
      </c>
      <c r="F31" s="14"/>
      <c r="G31" s="1"/>
    </row>
    <row r="32" spans="1:7" x14ac:dyDescent="0.45">
      <c r="A32" s="1"/>
      <c r="B32" s="116" t="s">
        <v>187</v>
      </c>
      <c r="C32" s="117"/>
      <c r="D32" s="118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45">
      <c r="A33" s="1"/>
      <c r="B33" s="116" t="s">
        <v>120</v>
      </c>
      <c r="C33" s="117"/>
      <c r="D33" s="118"/>
      <c r="E33" s="9">
        <v>2</v>
      </c>
      <c r="F33" s="14" t="s">
        <v>21</v>
      </c>
      <c r="G33" s="1"/>
    </row>
    <row r="34" spans="1:7" x14ac:dyDescent="0.45">
      <c r="A34" s="1"/>
      <c r="B34" s="119" t="s">
        <v>188</v>
      </c>
      <c r="C34" s="119"/>
      <c r="D34" s="119"/>
      <c r="E34" s="10">
        <f>E32/E33</f>
        <v>0</v>
      </c>
      <c r="F34" s="17" t="s">
        <v>3</v>
      </c>
      <c r="G34" s="1"/>
    </row>
    <row r="35" spans="1:7" x14ac:dyDescent="0.45">
      <c r="A35" s="1"/>
      <c r="B35" s="120"/>
      <c r="C35" s="121"/>
      <c r="D35" s="121"/>
      <c r="E35" s="121"/>
      <c r="F35" s="122"/>
      <c r="G35" s="1"/>
    </row>
    <row r="36" spans="1:7" ht="75" customHeight="1" x14ac:dyDescent="0.45">
      <c r="A36" s="1"/>
      <c r="B36" s="98" t="s">
        <v>279</v>
      </c>
      <c r="C36" s="99"/>
      <c r="D36" s="99"/>
      <c r="E36" s="99"/>
      <c r="F36" s="100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</sheetData>
  <sheetProtection algorithmName="SHA-512" hashValue="iT21iLfp2RsDXPfuqfuG2aSAqx1JN86uTZL1bZoBQXahqk4ODq7h8JSWs/muUFTFX3XRfsoNX5eu55IDgFsXGw==" saltValue="CQqKXpKmYIs1WkXTKZCCUA==" spinCount="100000" sheet="1" objects="1" scenarios="1"/>
  <mergeCells count="18">
    <mergeCell ref="B32:D32"/>
    <mergeCell ref="B33:D33"/>
    <mergeCell ref="B34:D34"/>
    <mergeCell ref="B35:F35"/>
    <mergeCell ref="B36:F36"/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59765625" style="2" customWidth="1"/>
    <col min="5" max="5" width="12.7304687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3" t="s">
        <v>216</v>
      </c>
      <c r="C3" s="103"/>
      <c r="D3" s="103"/>
      <c r="E3" s="103"/>
      <c r="F3" s="103"/>
      <c r="G3" s="1"/>
    </row>
    <row r="4" spans="1:7" ht="1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95" t="s">
        <v>217</v>
      </c>
      <c r="C9" s="96"/>
      <c r="D9" s="96"/>
      <c r="E9" s="96"/>
      <c r="F9" s="97"/>
      <c r="G9" s="1"/>
    </row>
    <row r="10" spans="1:7" x14ac:dyDescent="0.45">
      <c r="A10" s="1"/>
      <c r="B10" s="98" t="s">
        <v>118</v>
      </c>
      <c r="C10" s="99"/>
      <c r="D10" s="100"/>
      <c r="E10" s="7">
        <v>0</v>
      </c>
      <c r="F10" s="8" t="s">
        <v>3</v>
      </c>
      <c r="G10" s="1"/>
    </row>
    <row r="11" spans="1:7" x14ac:dyDescent="0.45">
      <c r="A11" s="1"/>
      <c r="B11" s="104" t="s">
        <v>218</v>
      </c>
      <c r="C11" s="105"/>
      <c r="D11" s="106"/>
      <c r="E11" s="7">
        <v>0</v>
      </c>
      <c r="F11" s="8" t="s">
        <v>3</v>
      </c>
      <c r="G11" s="1"/>
    </row>
    <row r="12" spans="1:7" x14ac:dyDescent="0.45">
      <c r="A12" s="1"/>
      <c r="B12" s="101" t="s">
        <v>119</v>
      </c>
      <c r="C12" s="102"/>
      <c r="D12" s="123"/>
      <c r="E12" s="10">
        <f>E11-E10</f>
        <v>0</v>
      </c>
      <c r="F12" s="11" t="s">
        <v>3</v>
      </c>
      <c r="G12" s="1"/>
    </row>
    <row r="13" spans="1:7" x14ac:dyDescent="0.45">
      <c r="A13" s="1"/>
      <c r="B13" s="95" t="s">
        <v>109</v>
      </c>
      <c r="C13" s="96"/>
      <c r="D13" s="96"/>
      <c r="E13" s="96"/>
      <c r="F13" s="97"/>
      <c r="G13" s="1"/>
    </row>
    <row r="14" spans="1:7" x14ac:dyDescent="0.45">
      <c r="A14" s="1"/>
      <c r="B14" s="104" t="s">
        <v>219</v>
      </c>
      <c r="C14" s="105"/>
      <c r="D14" s="106"/>
      <c r="E14" s="9">
        <v>0</v>
      </c>
      <c r="F14" s="8" t="s">
        <v>3</v>
      </c>
      <c r="G14" s="1"/>
    </row>
    <row r="15" spans="1:7" x14ac:dyDescent="0.45">
      <c r="A15" s="1"/>
      <c r="B15" s="98" t="s">
        <v>220</v>
      </c>
      <c r="C15" s="99"/>
      <c r="D15" s="100"/>
      <c r="E15" s="9">
        <v>0</v>
      </c>
      <c r="F15" s="8" t="s">
        <v>3</v>
      </c>
      <c r="G15" s="1"/>
    </row>
    <row r="16" spans="1:7" x14ac:dyDescent="0.45">
      <c r="A16" s="1"/>
      <c r="B16" s="101" t="s">
        <v>119</v>
      </c>
      <c r="C16" s="102"/>
      <c r="D16" s="123"/>
      <c r="E16" s="10">
        <f>E15-E14</f>
        <v>0</v>
      </c>
      <c r="F16" s="11" t="s">
        <v>3</v>
      </c>
      <c r="G16" s="1"/>
    </row>
    <row r="17" spans="1:7" x14ac:dyDescent="0.4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pD6qlEttfFVcIVqOM6iFouM4GUCp+kOS/E7Eb7iRXHnQFdccPTx4bMM1k/fCBLwwHtBJODdFQa71krzcfuyAcw==" saltValue="wnGEXFHoufnahFv1fx1L7A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7" t="s">
        <v>177</v>
      </c>
      <c r="C3" s="87"/>
      <c r="D3" s="87"/>
      <c r="E3" s="87"/>
      <c r="F3" s="87"/>
      <c r="G3" s="87"/>
      <c r="H3" s="87"/>
      <c r="I3" s="1"/>
    </row>
    <row r="4" spans="1:9" ht="15" customHeight="1" x14ac:dyDescent="0.4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178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45">
      <c r="A10" s="1"/>
      <c r="B10" s="65" t="s">
        <v>282</v>
      </c>
      <c r="C10" s="66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95" t="s">
        <v>179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+WP+NwgSEIlyy59m6ZDOQtEQujH39ZxxBLAbBrizrq5zySa8u2o+1KTjJ8xJSVf+frfmjJ5ZwBUHDW35kmdxnw==" saltValue="pT61vAWj52sZCtCj88DI3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45">
      <c r="A4" s="1"/>
      <c r="B4" s="87"/>
      <c r="C4" s="87"/>
      <c r="D4" s="87"/>
      <c r="E4" s="87"/>
      <c r="F4" s="8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4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4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38" t="s">
        <v>163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222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gaxrqiHEyzQB7dOHM6kXmzAWX5Uveyi6tBxXDYIJ7DdEu6WPgVYY2EHTiZPGuUACjhkI/3VpWqcnabhsOIADlg==" saltValue="S9FWTOZcHACsEs3SfjVs2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3984375" style="2" bestFit="1" customWidth="1"/>
    <col min="5" max="5" width="17.73046875" style="2" bestFit="1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45">
      <c r="A4" s="1"/>
      <c r="B4" s="87"/>
      <c r="C4" s="87"/>
      <c r="D4" s="87"/>
      <c r="E4" s="87"/>
      <c r="F4" s="8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112</v>
      </c>
      <c r="C8" s="96"/>
      <c r="D8" s="96"/>
      <c r="E8" s="96"/>
      <c r="F8" s="97"/>
      <c r="G8" s="1"/>
    </row>
    <row r="9" spans="1:7" x14ac:dyDescent="0.4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45">
      <c r="A10" s="1"/>
      <c r="B10" s="25" t="s">
        <v>281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4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113</v>
      </c>
      <c r="C16" s="96"/>
      <c r="D16" s="96"/>
      <c r="E16" s="96"/>
      <c r="F16" s="97"/>
      <c r="G16" s="1"/>
    </row>
    <row r="17" spans="1:7" x14ac:dyDescent="0.45">
      <c r="A17" s="1"/>
      <c r="B17" s="52" t="s">
        <v>18</v>
      </c>
      <c r="C17" s="52" t="s">
        <v>12</v>
      </c>
      <c r="D17" s="53"/>
      <c r="E17" s="52" t="s">
        <v>34</v>
      </c>
      <c r="F17" s="37"/>
      <c r="G17" s="1"/>
    </row>
    <row r="18" spans="1:7" x14ac:dyDescent="0.45">
      <c r="A18" s="1"/>
      <c r="B18" s="25" t="s">
        <v>281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4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166</v>
      </c>
      <c r="C24" s="96"/>
      <c r="D24" s="96"/>
      <c r="E24" s="96"/>
      <c r="F24" s="97"/>
      <c r="G24" s="1"/>
    </row>
    <row r="25" spans="1:7" x14ac:dyDescent="0.45">
      <c r="A25" s="1"/>
      <c r="B25" s="52" t="s">
        <v>18</v>
      </c>
      <c r="C25" s="52" t="s">
        <v>12</v>
      </c>
      <c r="D25" s="53"/>
      <c r="E25" s="52" t="s">
        <v>34</v>
      </c>
      <c r="F25" s="37"/>
      <c r="G25" s="1"/>
    </row>
    <row r="26" spans="1:7" x14ac:dyDescent="0.45">
      <c r="A26" s="1"/>
      <c r="B26" s="25" t="s">
        <v>281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4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224</v>
      </c>
      <c r="C32" s="96"/>
      <c r="D32" s="96"/>
      <c r="E32" s="96"/>
      <c r="F32" s="97"/>
      <c r="G32" s="1"/>
    </row>
    <row r="33" spans="1:7" x14ac:dyDescent="0.45">
      <c r="A33" s="1"/>
      <c r="B33" s="52" t="s">
        <v>18</v>
      </c>
      <c r="C33" s="52" t="s">
        <v>12</v>
      </c>
      <c r="D33" s="53"/>
      <c r="E33" s="52" t="s">
        <v>34</v>
      </c>
      <c r="F33" s="37"/>
      <c r="G33" s="1"/>
    </row>
    <row r="34" spans="1:7" x14ac:dyDescent="0.45">
      <c r="A34" s="1"/>
      <c r="B34" s="25" t="s">
        <v>281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4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SDyHl+9hUlrj0R+LlohuuoMTBmtXyjpgmqylj6Z6TICKja++6tdaYM75PIYw/thiX7nK+NgTrKPQLmUxW/NtGg==" saltValue="9tTWp9bgiLH3ZlusN3+PN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136</v>
      </c>
      <c r="C3" s="103"/>
      <c r="D3" s="103"/>
      <c r="E3" s="103"/>
      <c r="F3" s="103"/>
      <c r="G3" s="1"/>
    </row>
    <row r="4" spans="1:7" ht="1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03"/>
      <c r="C5" s="103"/>
      <c r="D5" s="103"/>
      <c r="E5" s="103"/>
      <c r="F5" s="10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103</v>
      </c>
      <c r="C8" s="96"/>
      <c r="D8" s="96"/>
      <c r="E8" s="96"/>
      <c r="F8" s="97"/>
      <c r="G8" s="1"/>
    </row>
    <row r="9" spans="1:7" x14ac:dyDescent="0.45">
      <c r="A9" s="1"/>
      <c r="B9" s="124" t="s">
        <v>226</v>
      </c>
      <c r="C9" s="125"/>
      <c r="D9" s="126"/>
      <c r="E9" s="9">
        <v>0</v>
      </c>
      <c r="F9" s="14" t="s">
        <v>3</v>
      </c>
      <c r="G9" s="1"/>
    </row>
    <row r="10" spans="1:7" x14ac:dyDescent="0.45">
      <c r="A10" s="1"/>
      <c r="B10" s="89" t="s">
        <v>10</v>
      </c>
      <c r="C10" s="90"/>
      <c r="D10" s="91"/>
      <c r="E10" s="9">
        <f>-E9*'Fane 5. Individuelt eff. krav'!G12</f>
        <v>0</v>
      </c>
      <c r="F10" s="14" t="s">
        <v>3</v>
      </c>
      <c r="G10" s="1"/>
    </row>
    <row r="11" spans="1:7" x14ac:dyDescent="0.45">
      <c r="A11" s="1"/>
      <c r="B11" s="89" t="s">
        <v>26</v>
      </c>
      <c r="C11" s="90"/>
      <c r="D11" s="91"/>
      <c r="E11" s="9">
        <f>-E9*'Fane 14. Nøgletal'!C29</f>
        <v>0</v>
      </c>
      <c r="F11" s="14" t="s">
        <v>3</v>
      </c>
      <c r="G11" s="1"/>
    </row>
    <row r="12" spans="1:7" x14ac:dyDescent="0.45">
      <c r="A12" s="1"/>
      <c r="B12" s="95" t="s">
        <v>105</v>
      </c>
      <c r="C12" s="96"/>
      <c r="D12" s="97"/>
      <c r="E12" s="12">
        <f>SUM(E9:E11)*(1+'Fane 14. Nøgletal'!C14)^2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5" t="s">
        <v>104</v>
      </c>
      <c r="C14" s="96"/>
      <c r="D14" s="96"/>
      <c r="E14" s="96"/>
      <c r="F14" s="97"/>
      <c r="G14" s="1"/>
    </row>
    <row r="15" spans="1:7" ht="15" customHeight="1" x14ac:dyDescent="0.45">
      <c r="A15" s="1"/>
      <c r="B15" s="124" t="s">
        <v>226</v>
      </c>
      <c r="C15" s="125"/>
      <c r="D15" s="126"/>
      <c r="E15" s="9">
        <v>0</v>
      </c>
      <c r="F15" s="14" t="s">
        <v>3</v>
      </c>
      <c r="G15" s="1"/>
    </row>
    <row r="16" spans="1:7" x14ac:dyDescent="0.45">
      <c r="A16" s="1"/>
      <c r="B16" s="89" t="s">
        <v>10</v>
      </c>
      <c r="C16" s="90"/>
      <c r="D16" s="91"/>
      <c r="E16" s="9">
        <f>-E15*'Fane 5. Individuelt eff. krav'!G12</f>
        <v>0</v>
      </c>
      <c r="F16" s="14" t="s">
        <v>3</v>
      </c>
      <c r="G16" s="1"/>
    </row>
    <row r="17" spans="1:7" x14ac:dyDescent="0.45">
      <c r="A17" s="1"/>
      <c r="B17" s="89" t="s">
        <v>26</v>
      </c>
      <c r="C17" s="90"/>
      <c r="D17" s="91"/>
      <c r="E17" s="9">
        <f>-E15*'Fane 14. Nøgletal'!C29</f>
        <v>0</v>
      </c>
      <c r="F17" s="14" t="s">
        <v>3</v>
      </c>
      <c r="G17" s="1"/>
    </row>
    <row r="18" spans="1:7" x14ac:dyDescent="0.45">
      <c r="A18" s="1"/>
      <c r="B18" s="95" t="s">
        <v>106</v>
      </c>
      <c r="C18" s="96"/>
      <c r="D18" s="97"/>
      <c r="E18" s="12">
        <f>SUM(E15:E17)*(1+'Fane 14. Nøgletal'!C14)^3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5" t="s">
        <v>155</v>
      </c>
      <c r="C20" s="96"/>
      <c r="D20" s="96"/>
      <c r="E20" s="96"/>
      <c r="F20" s="97"/>
      <c r="G20" s="1"/>
    </row>
    <row r="21" spans="1:7" ht="15" customHeight="1" x14ac:dyDescent="0.45">
      <c r="A21" s="1"/>
      <c r="B21" s="124" t="s">
        <v>226</v>
      </c>
      <c r="C21" s="125"/>
      <c r="D21" s="126"/>
      <c r="E21" s="9">
        <v>0</v>
      </c>
      <c r="F21" s="14" t="s">
        <v>3</v>
      </c>
      <c r="G21" s="1"/>
    </row>
    <row r="22" spans="1:7" x14ac:dyDescent="0.45">
      <c r="A22" s="1"/>
      <c r="B22" s="89" t="s">
        <v>10</v>
      </c>
      <c r="C22" s="90"/>
      <c r="D22" s="91"/>
      <c r="E22" s="9">
        <f>-E21*'Fane 5. Individuelt eff. krav'!G12</f>
        <v>0</v>
      </c>
      <c r="F22" s="14" t="s">
        <v>3</v>
      </c>
      <c r="G22" s="1"/>
    </row>
    <row r="23" spans="1:7" x14ac:dyDescent="0.45">
      <c r="A23" s="1"/>
      <c r="B23" s="89" t="s">
        <v>26</v>
      </c>
      <c r="C23" s="90"/>
      <c r="D23" s="91"/>
      <c r="E23" s="9">
        <f>-E21*'Fane 14. Nøgletal'!C29</f>
        <v>0</v>
      </c>
      <c r="F23" s="14" t="s">
        <v>3</v>
      </c>
      <c r="G23" s="1"/>
    </row>
    <row r="24" spans="1:7" x14ac:dyDescent="0.45">
      <c r="A24" s="1"/>
      <c r="B24" s="95" t="s">
        <v>156</v>
      </c>
      <c r="C24" s="96"/>
      <c r="D24" s="97"/>
      <c r="E24" s="12">
        <f>SUM(E21:E23)*(1+'Fane 14. Nøgletal'!C14)^4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5" t="s">
        <v>227</v>
      </c>
      <c r="C26" s="96"/>
      <c r="D26" s="96"/>
      <c r="E26" s="96"/>
      <c r="F26" s="97"/>
      <c r="G26" s="1"/>
    </row>
    <row r="27" spans="1:7" ht="15" customHeight="1" x14ac:dyDescent="0.45">
      <c r="A27" s="1"/>
      <c r="B27" s="124" t="s">
        <v>226</v>
      </c>
      <c r="C27" s="125"/>
      <c r="D27" s="126"/>
      <c r="E27" s="9">
        <v>0</v>
      </c>
      <c r="F27" s="14" t="s">
        <v>3</v>
      </c>
      <c r="G27" s="1"/>
    </row>
    <row r="28" spans="1:7" x14ac:dyDescent="0.45">
      <c r="A28" s="1"/>
      <c r="B28" s="89" t="s">
        <v>10</v>
      </c>
      <c r="C28" s="90"/>
      <c r="D28" s="91"/>
      <c r="E28" s="9">
        <f>-E27*'Fane 5. Individuelt eff. krav'!G12</f>
        <v>0</v>
      </c>
      <c r="F28" s="14" t="s">
        <v>3</v>
      </c>
      <c r="G28" s="1"/>
    </row>
    <row r="29" spans="1:7" x14ac:dyDescent="0.45">
      <c r="A29" s="1"/>
      <c r="B29" s="89" t="s">
        <v>26</v>
      </c>
      <c r="C29" s="90"/>
      <c r="D29" s="91"/>
      <c r="E29" s="9">
        <f>-E27*'Fane 14. Nøgletal'!C29</f>
        <v>0</v>
      </c>
      <c r="F29" s="14" t="s">
        <v>3</v>
      </c>
      <c r="G29" s="1"/>
    </row>
    <row r="30" spans="1:7" x14ac:dyDescent="0.45">
      <c r="A30" s="1"/>
      <c r="B30" s="95" t="s">
        <v>228</v>
      </c>
      <c r="C30" s="96"/>
      <c r="D30" s="97"/>
      <c r="E30" s="12">
        <f>SUM(E27:E29)*(1+'Fane 14. Nøgletal'!C14)^5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rDQMIVCqj6+U97RNXN5F88WveLGn1Jofitral1Zn0XUshn2Xf7wlUNA2D035rCR26EkCiRobqdQs1saHfHrElQ==" saltValue="jQP/rBKtx2funxYSnMekCA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36.3984375" style="2" customWidth="1"/>
    <col min="3" max="3" width="15.59765625" style="2" customWidth="1"/>
    <col min="4" max="4" width="3.265625" style="2" customWidth="1"/>
    <col min="5" max="5" width="17.13281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157</v>
      </c>
      <c r="C3" s="103"/>
      <c r="D3" s="103"/>
      <c r="E3" s="103"/>
      <c r="F3" s="103"/>
      <c r="G3" s="1"/>
    </row>
    <row r="4" spans="1:7" ht="25.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158</v>
      </c>
      <c r="C8" s="96"/>
      <c r="D8" s="96"/>
      <c r="E8" s="96"/>
      <c r="F8" s="97"/>
      <c r="G8" s="1"/>
    </row>
    <row r="9" spans="1:7" ht="15" customHeight="1" x14ac:dyDescent="0.4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/3u3wQh1TFdLkmkNM3XEIAfNnu24HpcD3ruZbj8uBH1yFAK/7q1ooAwhmUer4V2D+eTIPJzY3m8uN3wXYwxQ4g==" saltValue="NNOianWv2YTVc6UKdUUsa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133</v>
      </c>
      <c r="C3" s="103"/>
      <c r="D3" s="103"/>
      <c r="E3" s="103"/>
      <c r="F3" s="103"/>
      <c r="G3" s="1"/>
    </row>
    <row r="4" spans="1:7" ht="25.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107</v>
      </c>
      <c r="C8" s="96"/>
      <c r="D8" s="96"/>
      <c r="E8" s="96"/>
      <c r="F8" s="97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5" t="s">
        <v>108</v>
      </c>
      <c r="C14" s="96"/>
      <c r="D14" s="96"/>
      <c r="E14" s="96"/>
      <c r="F14" s="97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45">
      <c r="A16" s="1"/>
      <c r="B16" s="25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5" t="s">
        <v>169</v>
      </c>
      <c r="C20" s="96"/>
      <c r="D20" s="96"/>
      <c r="E20" s="96"/>
      <c r="F20" s="97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45">
      <c r="A22" s="1"/>
      <c r="B22" s="25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5" t="s">
        <v>231</v>
      </c>
      <c r="C26" s="96"/>
      <c r="D26" s="96"/>
      <c r="E26" s="96"/>
      <c r="F26" s="97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45">
      <c r="A28" s="1"/>
      <c r="B28" s="25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LqYi/sgPshkSD29T/ktxBVdwq1VmqpIcAKoRRsiwlhfeHQcVY8fNzygjPGJJb6id+DM6HwNcEyI4s2B3XRAsWw==" saltValue="oYCqSsbeXiQ/rfSgyFDLm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398437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103" t="s">
        <v>189</v>
      </c>
      <c r="C3" s="103"/>
      <c r="D3" s="1"/>
    </row>
    <row r="4" spans="1:4" ht="25.5" customHeight="1" x14ac:dyDescent="0.45">
      <c r="A4" s="1"/>
      <c r="B4" s="103"/>
      <c r="C4" s="103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62" t="s">
        <v>137</v>
      </c>
      <c r="C9" s="26">
        <v>1.2699999999999999E-2</v>
      </c>
      <c r="D9" s="1"/>
    </row>
    <row r="10" spans="1:4" x14ac:dyDescent="0.45">
      <c r="A10" s="1"/>
      <c r="B10" s="62" t="s">
        <v>138</v>
      </c>
      <c r="C10" s="26">
        <v>1.7500000000000002E-2</v>
      </c>
      <c r="D10" s="1"/>
    </row>
    <row r="11" spans="1:4" x14ac:dyDescent="0.45">
      <c r="A11" s="1"/>
      <c r="B11" s="62" t="s">
        <v>24</v>
      </c>
      <c r="C11" s="26">
        <v>1.6899999999999998E-2</v>
      </c>
      <c r="D11" s="1"/>
    </row>
    <row r="12" spans="1:4" x14ac:dyDescent="0.45">
      <c r="A12" s="1"/>
      <c r="B12" s="39" t="s">
        <v>254</v>
      </c>
      <c r="C12" s="40">
        <v>1.9699999999999999E-2</v>
      </c>
      <c r="D12" s="1"/>
    </row>
    <row r="13" spans="1:4" x14ac:dyDescent="0.45">
      <c r="A13" s="1"/>
      <c r="B13" s="39" t="s">
        <v>162</v>
      </c>
      <c r="C13" s="40">
        <v>1.2200000000000001E-2</v>
      </c>
      <c r="D13" s="1"/>
    </row>
    <row r="14" spans="1:4" x14ac:dyDescent="0.45">
      <c r="A14" s="1"/>
      <c r="B14" s="62" t="s">
        <v>253</v>
      </c>
      <c r="C14" s="67">
        <v>3.3E-3</v>
      </c>
      <c r="D14" s="1"/>
    </row>
    <row r="15" spans="1:4" x14ac:dyDescent="0.45">
      <c r="A15" s="1"/>
      <c r="B15" s="38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8" t="s">
        <v>121</v>
      </c>
      <c r="C18" s="20"/>
      <c r="D18" s="1"/>
    </row>
    <row r="19" spans="1:4" x14ac:dyDescent="0.45">
      <c r="A19" s="1"/>
      <c r="B19" s="62" t="s">
        <v>139</v>
      </c>
      <c r="C19" s="23">
        <v>9.1000000000000004E-3</v>
      </c>
      <c r="D19" s="1"/>
    </row>
    <row r="20" spans="1:4" x14ac:dyDescent="0.45">
      <c r="A20" s="1"/>
      <c r="B20" s="62" t="s">
        <v>190</v>
      </c>
      <c r="C20" s="23">
        <v>1.77E-2</v>
      </c>
      <c r="D20" s="1"/>
    </row>
    <row r="21" spans="1:4" x14ac:dyDescent="0.45">
      <c r="A21" s="1"/>
      <c r="B21" s="62" t="s">
        <v>191</v>
      </c>
      <c r="C21" s="23">
        <v>8.6999999999999994E-3</v>
      </c>
      <c r="D21" s="1"/>
    </row>
    <row r="22" spans="1:4" x14ac:dyDescent="0.45">
      <c r="A22" s="1"/>
      <c r="B22" s="62" t="s">
        <v>140</v>
      </c>
      <c r="C22" s="41">
        <v>2.8400000000000002E-2</v>
      </c>
      <c r="D22" s="1"/>
    </row>
    <row r="23" spans="1:4" x14ac:dyDescent="0.45">
      <c r="A23" s="1"/>
      <c r="B23" s="62" t="s">
        <v>192</v>
      </c>
      <c r="C23" s="41">
        <v>2.75E-2</v>
      </c>
      <c r="D23" s="1"/>
    </row>
    <row r="24" spans="1:4" x14ac:dyDescent="0.45">
      <c r="A24" s="1"/>
      <c r="B24" s="62" t="s">
        <v>193</v>
      </c>
      <c r="C24" s="41">
        <v>1.4800000000000001E-2</v>
      </c>
      <c r="D24" s="1"/>
    </row>
    <row r="25" spans="1:4" x14ac:dyDescent="0.45">
      <c r="A25" s="1"/>
      <c r="B25" s="38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8" t="s">
        <v>122</v>
      </c>
      <c r="C28" s="20"/>
      <c r="D28" s="1"/>
    </row>
    <row r="29" spans="1:4" x14ac:dyDescent="0.45">
      <c r="A29" s="1"/>
      <c r="B29" s="62" t="s">
        <v>141</v>
      </c>
      <c r="C29" s="26">
        <v>0.02</v>
      </c>
      <c r="D29" s="1"/>
    </row>
    <row r="30" spans="1:4" x14ac:dyDescent="0.45">
      <c r="A30" s="1"/>
      <c r="B30" s="38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YQcjljDBJ9W4OyVLhsHJmvfqluecYhBQ/gPrVXhEgR78TvJDeNwCuKzTK2FACTxtKuBFwku4Qpt4brq0BjA1qw==" saltValue="yS5ex2UsMeeiqhzEd2PNV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8.59765625" style="2" customWidth="1"/>
    <col min="3" max="3" width="12.59765625" style="2" customWidth="1"/>
    <col min="4" max="4" width="2.86328125" style="2" bestFit="1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194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260</v>
      </c>
      <c r="C9" s="7">
        <f>'Fane 3. Omkostninger i ØR2021'!E20</f>
        <v>50133521.184664339</v>
      </c>
      <c r="D9" s="8" t="s">
        <v>3</v>
      </c>
      <c r="E9" s="1"/>
    </row>
    <row r="10" spans="1:5" ht="17.100000000000001" customHeight="1" x14ac:dyDescent="0.45">
      <c r="A10" s="1"/>
      <c r="B10" s="51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51" t="s">
        <v>44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45">
      <c r="A12" s="1"/>
      <c r="B12" s="51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51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51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51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51" t="s">
        <v>20</v>
      </c>
      <c r="C16" s="9">
        <f>SUM(C9:C15)*'Fane 14. Nøgletal'!C14</f>
        <v>165440.61990939232</v>
      </c>
      <c r="D16" s="8" t="s">
        <v>3</v>
      </c>
      <c r="E16" s="1"/>
    </row>
    <row r="17" spans="1:5" ht="17.100000000000001" customHeight="1" x14ac:dyDescent="0.45">
      <c r="A17" s="1"/>
      <c r="B17" s="51" t="s">
        <v>10</v>
      </c>
      <c r="C17" s="9">
        <f>-SUM(C9:C16)*'Fane 5. Individuelt eff. krav'!G12</f>
        <v>-1005979.2360914747</v>
      </c>
      <c r="D17" s="8" t="s">
        <v>3</v>
      </c>
      <c r="E17" s="1"/>
    </row>
    <row r="18" spans="1:5" ht="17.100000000000001" customHeight="1" x14ac:dyDescent="0.45">
      <c r="A18" s="1"/>
      <c r="B18" s="51" t="s">
        <v>26</v>
      </c>
      <c r="C18" s="9">
        <f>-'Fane 4.1. Gen. krav - drift'!G40</f>
        <v>-351156.49692565488</v>
      </c>
      <c r="D18" s="8" t="s">
        <v>3</v>
      </c>
      <c r="E18" s="1"/>
    </row>
    <row r="19" spans="1:5" ht="17.100000000000001" customHeight="1" x14ac:dyDescent="0.45">
      <c r="A19" s="1"/>
      <c r="B19" s="51" t="s">
        <v>27</v>
      </c>
      <c r="C19" s="9">
        <f>-'Fane 4.2. Gen. krav - anlæg'!G37</f>
        <v>-528399.94489301904</v>
      </c>
      <c r="D19" s="8" t="s">
        <v>3</v>
      </c>
      <c r="E19" s="1"/>
    </row>
    <row r="20" spans="1:5" ht="17.100000000000001" customHeight="1" x14ac:dyDescent="0.45">
      <c r="A20" s="1"/>
      <c r="B20" s="57" t="s">
        <v>22</v>
      </c>
      <c r="C20" s="10">
        <f>SUM(C9:C19)</f>
        <v>48413426.126663588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omk.'!C15+'Fane 6. Ikke-påvirkelige omk.'!C19+'Fane 6. Ikke-påvirkelige omk.'!C27</f>
        <v>495700.52992437681</v>
      </c>
      <c r="D22" s="11" t="s">
        <v>3</v>
      </c>
      <c r="E22" s="1"/>
    </row>
    <row r="23" spans="1:5" ht="15" customHeight="1" x14ac:dyDescent="0.45">
      <c r="A23" s="1"/>
      <c r="B23" s="38" t="s">
        <v>94</v>
      </c>
      <c r="C23" s="32"/>
      <c r="D23" s="20"/>
      <c r="E23" s="1"/>
    </row>
    <row r="24" spans="1:5" ht="15" customHeight="1" x14ac:dyDescent="0.45">
      <c r="A24" s="1"/>
      <c r="B24" s="57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8" t="s">
        <v>93</v>
      </c>
      <c r="C25" s="32"/>
      <c r="D25" s="20"/>
      <c r="E25" s="1"/>
    </row>
    <row r="26" spans="1:5" ht="15" customHeight="1" x14ac:dyDescent="0.45">
      <c r="A26" s="1"/>
      <c r="B26" s="51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51" t="s">
        <v>90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57" t="s">
        <v>95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187</v>
      </c>
      <c r="C29" s="32"/>
      <c r="D29" s="20"/>
      <c r="E29" s="1"/>
    </row>
    <row r="30" spans="1:5" x14ac:dyDescent="0.45">
      <c r="A30" s="1"/>
      <c r="B30" s="36" t="s">
        <v>284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45">
      <c r="A31" s="1"/>
      <c r="B31" s="38" t="s">
        <v>195</v>
      </c>
      <c r="C31" s="32"/>
      <c r="D31" s="20"/>
      <c r="E31" s="1"/>
    </row>
    <row r="32" spans="1:5" x14ac:dyDescent="0.4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45">
      <c r="A33" s="1"/>
      <c r="B33" s="35" t="s">
        <v>258</v>
      </c>
      <c r="C33" s="32"/>
      <c r="D33" s="20"/>
      <c r="E33" s="1"/>
    </row>
    <row r="34" spans="1:5" x14ac:dyDescent="0.45">
      <c r="A34" s="1"/>
      <c r="B34" s="63" t="s">
        <v>259</v>
      </c>
      <c r="C34" s="10">
        <v>0</v>
      </c>
      <c r="D34" s="11" t="s">
        <v>3</v>
      </c>
      <c r="E34" s="1"/>
    </row>
    <row r="35" spans="1:5" x14ac:dyDescent="0.45">
      <c r="A35" s="1"/>
      <c r="B35" s="38" t="s">
        <v>32</v>
      </c>
      <c r="C35" s="34">
        <f>SUM(C32,C30,C28,C24,C22,C20)</f>
        <v>48909126.656587966</v>
      </c>
      <c r="D35" s="35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DKzcFzYifyE0dIvcPzWmXwyoU0xm/mUwdqyOHpJyxldQsSs3GN17qjnO6gE23ZEED3mKqoBWuEfn4H+Q/Wpp4Q==" saltValue="V12kiVmiRIXpJrvjF4kMQ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2656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196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151</v>
      </c>
      <c r="C9" s="7">
        <f>'Fane 2.1. Økonomisk ramme 2022'!C20</f>
        <v>48413426.126663588</v>
      </c>
      <c r="D9" s="8" t="s">
        <v>3</v>
      </c>
      <c r="E9" s="1"/>
    </row>
    <row r="10" spans="1:5" ht="15" customHeight="1" x14ac:dyDescent="0.45">
      <c r="A10" s="1"/>
      <c r="B10" s="51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51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159764.30621798983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-971463.80865763163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drift'!G47</f>
        <v>-345269.00709819933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anlæg'!G44</f>
        <v>-522297.53847344086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46734160.078652307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Nøgletal'!C14)+'Fane 6. Ikke-påvirkelige omk.'!C20+'Fane 6. Ikke-påvirkelige omk.'!C28</f>
        <v>497336.34167312732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7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1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51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187</v>
      </c>
      <c r="C25" s="32"/>
      <c r="D25" s="20"/>
      <c r="E25" s="1"/>
    </row>
    <row r="26" spans="1:5" ht="15" customHeight="1" x14ac:dyDescent="0.45">
      <c r="A26" s="1"/>
      <c r="B26" s="36" t="s">
        <v>284</v>
      </c>
      <c r="C26" s="10">
        <f>'Fane 7. Kontrol af ØR2020'!E34</f>
        <v>0</v>
      </c>
      <c r="D26" s="11" t="s">
        <v>3</v>
      </c>
      <c r="E26" s="1"/>
    </row>
    <row r="27" spans="1:5" x14ac:dyDescent="0.45">
      <c r="A27" s="1"/>
      <c r="B27" s="35" t="s">
        <v>258</v>
      </c>
      <c r="C27" s="32"/>
      <c r="D27" s="20"/>
      <c r="E27" s="1"/>
    </row>
    <row r="28" spans="1:5" x14ac:dyDescent="0.45">
      <c r="A28" s="1"/>
      <c r="B28" s="63" t="s">
        <v>259</v>
      </c>
      <c r="C28" s="10">
        <v>0</v>
      </c>
      <c r="D28" s="11" t="s">
        <v>3</v>
      </c>
      <c r="E28" s="1"/>
    </row>
    <row r="29" spans="1:5" x14ac:dyDescent="0.45">
      <c r="A29" s="1"/>
      <c r="B29" s="38" t="s">
        <v>102</v>
      </c>
      <c r="C29" s="12">
        <f>SUM(C16,C18,C20,C24,C26,C28)</f>
        <v>47231496.420325436</v>
      </c>
      <c r="D29" s="1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YUehceAI/+u+gfvyTnzpVGza6e+DDIYxUuPZa14MpvJhUQ7n6KkccmPUhk4szYvOiljnpfJ954AKV1UYpbsgmA==" saltValue="BQ7Tf0nM57PH29MUbG47W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197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152</v>
      </c>
      <c r="C9" s="7">
        <f>'Fane 2.2. Økonomisk ramme 2023'!C16</f>
        <v>46734160.078652307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154222.72825955262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-937767.65613823733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drift'!G55</f>
        <v>-339480.226925191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anlæg'!G55</f>
        <v>-516265.60776921723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45094869.316079222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Nøgletal'!C14)^2+'Fane 6. Ikke-påvirkelige omk.'!C21+'Fane 6. Ikke-påvirkelige omk.'!C29</f>
        <v>498977.55160064867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7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1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51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153</v>
      </c>
      <c r="C27" s="12">
        <f>SUM(C16,C18,C20,C24,C26)</f>
        <v>45593846.867679872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N0UGSYIejXaf68adfoZkbmwo8uTP2R1QCSmZlLXSNQY0ev6z6dcs/RdlBjACLHKmcajT6ELyEhyT8NRmeN7Lrg==" saltValue="a84/dWdt6SazVf66JHwIy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97656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198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199</v>
      </c>
      <c r="C9" s="7">
        <f>'Fane 2.3. Økonomisk ramme 2024'!C16</f>
        <v>45094869.316079222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148813.06874306142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-904873.6476964457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drift'!G61</f>
        <v>-333788.5014405633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anlæg'!G61</f>
        <v>-510303.33886758785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43494716.896817692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Nøgletal'!C14)^3+'Fane 6. Ikke-påvirkelige omk.'!C22+'Fane 6. Ikke-påvirkelige omk.'!C30</f>
        <v>500624.17752093083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7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1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51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200</v>
      </c>
      <c r="C27" s="12">
        <f>SUM(C16,C18,C20,C24,C26)</f>
        <v>43995341.074338622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BBi95hkOCefopEMl2VKDgvB+iwbiCrJx9GvPYx4Rw7kbVixp40K3YTKJPYg80zADqmXZi/lDHGWWHxabY3dORg==" saltValue="TNdf+BMbuJoEfEnlCFtLa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265625" style="2" customWidth="1"/>
    <col min="3" max="3" width="12" style="2" customWidth="1"/>
    <col min="4" max="4" width="31.73046875" style="2" customWidth="1"/>
    <col min="5" max="5" width="10.86328125" style="2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250</v>
      </c>
      <c r="C3" s="103"/>
      <c r="D3" s="103"/>
      <c r="E3" s="103"/>
      <c r="F3" s="103"/>
      <c r="G3" s="1"/>
    </row>
    <row r="4" spans="1:7" ht="29.2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278</v>
      </c>
      <c r="C8" s="32"/>
      <c r="D8" s="32"/>
      <c r="E8" s="32"/>
      <c r="F8" s="20"/>
      <c r="G8" s="1"/>
    </row>
    <row r="9" spans="1:7" ht="15" customHeight="1" x14ac:dyDescent="0.45">
      <c r="A9" s="1"/>
      <c r="B9" s="98" t="s">
        <v>25</v>
      </c>
      <c r="C9" s="99"/>
      <c r="D9" s="100"/>
      <c r="E9" s="7">
        <v>50050730.579356775</v>
      </c>
      <c r="F9" s="8" t="s">
        <v>3</v>
      </c>
      <c r="G9" s="1"/>
    </row>
    <row r="10" spans="1:7" ht="15" customHeight="1" x14ac:dyDescent="0.45">
      <c r="A10" s="1"/>
      <c r="B10" s="89" t="s">
        <v>43</v>
      </c>
      <c r="C10" s="90"/>
      <c r="D10" s="91"/>
      <c r="E10" s="7">
        <v>548209.54440000001</v>
      </c>
      <c r="F10" s="8" t="s">
        <v>3</v>
      </c>
      <c r="G10" s="1"/>
    </row>
    <row r="11" spans="1:7" ht="15" customHeight="1" x14ac:dyDescent="0.45">
      <c r="A11" s="1"/>
      <c r="B11" s="89" t="s">
        <v>44</v>
      </c>
      <c r="C11" s="90"/>
      <c r="D11" s="91"/>
      <c r="E11" s="9">
        <v>977982.57900000003</v>
      </c>
      <c r="F11" s="8" t="s">
        <v>3</v>
      </c>
      <c r="G11" s="1"/>
    </row>
    <row r="12" spans="1:7" ht="15" customHeight="1" x14ac:dyDescent="0.45">
      <c r="A12" s="1"/>
      <c r="B12" s="89" t="s">
        <v>29</v>
      </c>
      <c r="C12" s="90"/>
      <c r="D12" s="91"/>
      <c r="E12" s="9">
        <v>0</v>
      </c>
      <c r="F12" s="8" t="s">
        <v>3</v>
      </c>
      <c r="G12" s="1"/>
    </row>
    <row r="13" spans="1:7" ht="15" customHeight="1" x14ac:dyDescent="0.45">
      <c r="A13" s="1"/>
      <c r="B13" s="98" t="s">
        <v>28</v>
      </c>
      <c r="C13" s="99"/>
      <c r="D13" s="100"/>
      <c r="E13" s="9">
        <v>0</v>
      </c>
      <c r="F13" s="8" t="s">
        <v>3</v>
      </c>
      <c r="G13" s="1"/>
    </row>
    <row r="14" spans="1:7" ht="15" customHeight="1" x14ac:dyDescent="0.45">
      <c r="A14" s="1"/>
      <c r="B14" s="98" t="s">
        <v>31</v>
      </c>
      <c r="C14" s="99"/>
      <c r="D14" s="100"/>
      <c r="E14" s="9">
        <v>0</v>
      </c>
      <c r="F14" s="8" t="s">
        <v>3</v>
      </c>
      <c r="G14" s="1"/>
    </row>
    <row r="15" spans="1:7" ht="15" customHeight="1" x14ac:dyDescent="0.45">
      <c r="A15" s="1"/>
      <c r="B15" s="98" t="s">
        <v>30</v>
      </c>
      <c r="C15" s="99"/>
      <c r="D15" s="100"/>
      <c r="E15" s="9">
        <v>0</v>
      </c>
      <c r="F15" s="8" t="s">
        <v>3</v>
      </c>
      <c r="G15" s="1"/>
    </row>
    <row r="16" spans="1:7" ht="15" customHeight="1" x14ac:dyDescent="0.45">
      <c r="A16" s="1"/>
      <c r="B16" s="98" t="s">
        <v>20</v>
      </c>
      <c r="C16" s="99"/>
      <c r="D16" s="100"/>
      <c r="E16" s="9">
        <v>1004618.9363188084</v>
      </c>
      <c r="F16" s="8" t="s">
        <v>3</v>
      </c>
      <c r="G16" s="1"/>
    </row>
    <row r="17" spans="1:7" ht="15" customHeight="1" x14ac:dyDescent="0.45">
      <c r="A17" s="1"/>
      <c r="B17" s="98" t="s">
        <v>10</v>
      </c>
      <c r="C17" s="99"/>
      <c r="D17" s="100"/>
      <c r="E17" s="9">
        <v>-1051630.8327815118</v>
      </c>
      <c r="F17" s="8" t="s">
        <v>3</v>
      </c>
      <c r="G17" s="1"/>
    </row>
    <row r="18" spans="1:7" ht="15" customHeight="1" x14ac:dyDescent="0.45">
      <c r="A18" s="1"/>
      <c r="B18" s="98" t="s">
        <v>26</v>
      </c>
      <c r="C18" s="99"/>
      <c r="D18" s="100"/>
      <c r="E18" s="9">
        <f>-'Fane 4.1. Gen. krav - drift'!G34</f>
        <v>-357144.3795939266</v>
      </c>
      <c r="F18" s="8" t="s">
        <v>3</v>
      </c>
      <c r="G18" s="1"/>
    </row>
    <row r="19" spans="1:7" ht="15" customHeight="1" x14ac:dyDescent="0.45">
      <c r="A19" s="1"/>
      <c r="B19" s="98" t="s">
        <v>27</v>
      </c>
      <c r="C19" s="99"/>
      <c r="D19" s="100"/>
      <c r="E19" s="9">
        <f>-'Fane 4.2. Gen. krav - anlæg'!G31</f>
        <v>-1039245.2420358133</v>
      </c>
      <c r="F19" s="8" t="s">
        <v>3</v>
      </c>
      <c r="G19" s="1"/>
    </row>
    <row r="20" spans="1:7" ht="15" customHeight="1" x14ac:dyDescent="0.45">
      <c r="A20" s="1"/>
      <c r="B20" s="57" t="s">
        <v>22</v>
      </c>
      <c r="C20" s="58"/>
      <c r="D20" s="64"/>
      <c r="E20" s="10">
        <f>SUM(E9:E19)</f>
        <v>50133521.184664339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92" t="s">
        <v>13</v>
      </c>
      <c r="C22" s="93"/>
      <c r="D22" s="94"/>
      <c r="E22" s="10">
        <v>714761.12999339995</v>
      </c>
      <c r="F22" s="11" t="s">
        <v>3</v>
      </c>
      <c r="G22" s="1"/>
    </row>
    <row r="23" spans="1:7" ht="15" customHeight="1" x14ac:dyDescent="0.45">
      <c r="A23" s="1"/>
      <c r="B23" s="95" t="s">
        <v>94</v>
      </c>
      <c r="C23" s="96"/>
      <c r="D23" s="97"/>
      <c r="E23" s="32"/>
      <c r="F23" s="32"/>
      <c r="G23" s="1"/>
    </row>
    <row r="24" spans="1:7" ht="15" customHeight="1" x14ac:dyDescent="0.45">
      <c r="A24" s="1"/>
      <c r="B24" s="57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4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45">
      <c r="A26" s="1"/>
      <c r="B26" s="89" t="s">
        <v>89</v>
      </c>
      <c r="C26" s="90"/>
      <c r="D26" s="91"/>
      <c r="E26" s="9">
        <v>0</v>
      </c>
      <c r="F26" s="8" t="s">
        <v>3</v>
      </c>
      <c r="G26" s="1"/>
    </row>
    <row r="27" spans="1:7" ht="15" customHeight="1" x14ac:dyDescent="0.45">
      <c r="A27" s="1"/>
      <c r="B27" s="89" t="s">
        <v>90</v>
      </c>
      <c r="C27" s="90"/>
      <c r="D27" s="90"/>
      <c r="E27" s="9">
        <v>0</v>
      </c>
      <c r="F27" s="8" t="s">
        <v>3</v>
      </c>
      <c r="G27" s="1"/>
    </row>
    <row r="28" spans="1:7" ht="15" customHeight="1" x14ac:dyDescent="0.45">
      <c r="A28" s="1"/>
      <c r="B28" s="101" t="s">
        <v>95</v>
      </c>
      <c r="C28" s="102"/>
      <c r="D28" s="102"/>
      <c r="E28" s="45">
        <v>0</v>
      </c>
      <c r="F28" s="11" t="s">
        <v>3</v>
      </c>
      <c r="G28" s="1"/>
    </row>
    <row r="29" spans="1:7" ht="15" customHeight="1" x14ac:dyDescent="0.4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45">
      <c r="A30" s="1"/>
      <c r="B30" s="92" t="s">
        <v>185</v>
      </c>
      <c r="C30" s="93"/>
      <c r="D30" s="93"/>
      <c r="E30" s="45">
        <v>0</v>
      </c>
      <c r="F30" s="11" t="s">
        <v>3</v>
      </c>
      <c r="G30" s="1"/>
    </row>
    <row r="31" spans="1:7" x14ac:dyDescent="0.4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45">
      <c r="A32" s="1"/>
      <c r="B32" s="92" t="s">
        <v>148</v>
      </c>
      <c r="C32" s="93"/>
      <c r="D32" s="94"/>
      <c r="E32" s="10">
        <v>0</v>
      </c>
      <c r="F32" s="11" t="s">
        <v>3</v>
      </c>
      <c r="G32" s="1"/>
    </row>
    <row r="33" spans="1:7" x14ac:dyDescent="0.45">
      <c r="A33" s="1"/>
      <c r="B33" s="38" t="s">
        <v>251</v>
      </c>
      <c r="C33" s="32"/>
      <c r="D33" s="20"/>
      <c r="E33" s="12">
        <f>SUM(E32,E30,E28,E24,E22,E20)</f>
        <v>50848282.31465774</v>
      </c>
      <c r="F33" s="13" t="s">
        <v>3</v>
      </c>
      <c r="G33" s="1"/>
    </row>
    <row r="34" spans="1:7" ht="27" customHeight="1" x14ac:dyDescent="0.45">
      <c r="A34" s="1"/>
      <c r="B34" s="98" t="s">
        <v>252</v>
      </c>
      <c r="C34" s="99"/>
      <c r="D34" s="99"/>
      <c r="E34" s="99"/>
      <c r="F34" s="100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G46iewkZ84qqw+hYc33pJQHbauXiWb5RDpLjK4EY7WEMW7ejB4sNWSYRwadAeJ8DIG8ijHikn7fensEVe/vs2A==" saltValue="iLMzTqtkScQP4uqbdT+B7w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45">
      <c r="A2" s="1"/>
      <c r="B2" s="103" t="s">
        <v>130</v>
      </c>
      <c r="C2" s="103"/>
      <c r="D2" s="103"/>
      <c r="E2" s="103"/>
      <c r="F2" s="103"/>
      <c r="G2" s="103"/>
      <c r="H2" s="103"/>
      <c r="I2" s="1"/>
    </row>
    <row r="3" spans="1:9" ht="28.5" customHeight="1" x14ac:dyDescent="0.45">
      <c r="A3" s="1"/>
      <c r="B3" s="103"/>
      <c r="C3" s="103"/>
      <c r="D3" s="103"/>
      <c r="E3" s="103"/>
      <c r="F3" s="103"/>
      <c r="G3" s="103"/>
      <c r="H3" s="103"/>
      <c r="I3" s="1"/>
    </row>
    <row r="4" spans="1:9" ht="14.25" customHeight="1" x14ac:dyDescent="0.4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45">
      <c r="A5" s="1"/>
      <c r="B5" s="95" t="s">
        <v>56</v>
      </c>
      <c r="C5" s="96"/>
      <c r="D5" s="96"/>
      <c r="E5" s="96"/>
      <c r="F5" s="96"/>
      <c r="G5" s="96"/>
      <c r="H5" s="97"/>
      <c r="I5" s="1"/>
    </row>
    <row r="6" spans="1:9" x14ac:dyDescent="0.45">
      <c r="A6" s="1"/>
      <c r="B6" s="104" t="s">
        <v>45</v>
      </c>
      <c r="C6" s="105"/>
      <c r="D6" s="105"/>
      <c r="E6" s="105"/>
      <c r="F6" s="106"/>
      <c r="G6" s="24">
        <v>17435364.801369194</v>
      </c>
      <c r="H6" s="14" t="s">
        <v>3</v>
      </c>
      <c r="I6" s="1"/>
    </row>
    <row r="7" spans="1:9" x14ac:dyDescent="0.45">
      <c r="A7" s="1"/>
      <c r="B7" s="98" t="s">
        <v>145</v>
      </c>
      <c r="C7" s="99"/>
      <c r="D7" s="99"/>
      <c r="E7" s="99"/>
      <c r="F7" s="100"/>
      <c r="G7" s="68">
        <v>0</v>
      </c>
      <c r="H7" s="14" t="s">
        <v>3</v>
      </c>
      <c r="I7" s="1"/>
    </row>
    <row r="8" spans="1:9" x14ac:dyDescent="0.45">
      <c r="A8" s="1"/>
      <c r="B8" s="104" t="s">
        <v>46</v>
      </c>
      <c r="C8" s="105"/>
      <c r="D8" s="105"/>
      <c r="E8" s="105"/>
      <c r="F8" s="106"/>
      <c r="G8" s="24">
        <f>SUM(G6:G7)*'Fane 14. Nøgletal'!C29</f>
        <v>348707.29602738388</v>
      </c>
      <c r="H8" s="14" t="s">
        <v>3</v>
      </c>
      <c r="I8" s="1"/>
    </row>
    <row r="9" spans="1:9" x14ac:dyDescent="0.4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95" t="s">
        <v>57</v>
      </c>
      <c r="C11" s="96"/>
      <c r="D11" s="96"/>
      <c r="E11" s="96"/>
      <c r="F11" s="96"/>
      <c r="G11" s="96"/>
      <c r="H11" s="97"/>
      <c r="I11" s="1"/>
    </row>
    <row r="12" spans="1:9" x14ac:dyDescent="0.45">
      <c r="A12" s="1"/>
      <c r="B12" s="104" t="s">
        <v>47</v>
      </c>
      <c r="C12" s="105"/>
      <c r="D12" s="105"/>
      <c r="E12" s="105"/>
      <c r="F12" s="106"/>
      <c r="G12" s="24">
        <f>(G6-G8)*(1+'Fane 14. Nøgletal'!C10)</f>
        <v>17385674.011685293</v>
      </c>
      <c r="H12" s="14" t="s">
        <v>3</v>
      </c>
      <c r="I12" s="1"/>
    </row>
    <row r="13" spans="1:9" ht="15" customHeight="1" x14ac:dyDescent="0.45">
      <c r="A13" s="1"/>
      <c r="B13" s="104" t="s">
        <v>146</v>
      </c>
      <c r="C13" s="105"/>
      <c r="D13" s="105"/>
      <c r="E13" s="105"/>
      <c r="F13" s="106"/>
      <c r="G13" s="24">
        <v>-9790.8203842979583</v>
      </c>
      <c r="H13" s="14" t="s">
        <v>3</v>
      </c>
      <c r="I13" s="1"/>
    </row>
    <row r="14" spans="1:9" x14ac:dyDescent="0.45">
      <c r="A14" s="1"/>
      <c r="B14" s="98" t="s">
        <v>143</v>
      </c>
      <c r="C14" s="99"/>
      <c r="D14" s="99"/>
      <c r="E14" s="99"/>
      <c r="F14" s="100"/>
      <c r="G14" s="68">
        <v>0</v>
      </c>
      <c r="H14" s="14" t="s">
        <v>3</v>
      </c>
      <c r="I14" s="1"/>
    </row>
    <row r="15" spans="1:9" x14ac:dyDescent="0.45">
      <c r="A15" s="1"/>
      <c r="B15" s="107" t="s">
        <v>48</v>
      </c>
      <c r="C15" s="108"/>
      <c r="D15" s="108"/>
      <c r="E15" s="108"/>
      <c r="F15" s="109"/>
      <c r="G15" s="68">
        <v>0</v>
      </c>
      <c r="H15" s="14" t="s">
        <v>3</v>
      </c>
      <c r="I15" s="1"/>
    </row>
    <row r="16" spans="1:9" x14ac:dyDescent="0.45">
      <c r="A16" s="1"/>
      <c r="B16" s="104" t="s">
        <v>49</v>
      </c>
      <c r="C16" s="105"/>
      <c r="D16" s="105"/>
      <c r="E16" s="105"/>
      <c r="F16" s="106"/>
      <c r="G16" s="24">
        <f>SUM(G12:G15)*'Fane 14. Nøgletal'!C29</f>
        <v>347517.66382601991</v>
      </c>
      <c r="H16" s="14" t="s">
        <v>3</v>
      </c>
      <c r="I16" s="1"/>
    </row>
    <row r="17" spans="1:9" x14ac:dyDescent="0.4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95" t="s">
        <v>58</v>
      </c>
      <c r="C19" s="96"/>
      <c r="D19" s="96"/>
      <c r="E19" s="96"/>
      <c r="F19" s="96"/>
      <c r="G19" s="96"/>
      <c r="H19" s="97"/>
      <c r="I19" s="1"/>
    </row>
    <row r="20" spans="1:9" x14ac:dyDescent="0.45">
      <c r="A20" s="1"/>
      <c r="B20" s="104" t="s">
        <v>50</v>
      </c>
      <c r="C20" s="105"/>
      <c r="D20" s="105"/>
      <c r="E20" s="105"/>
      <c r="F20" s="106"/>
      <c r="G20" s="24">
        <f>(SUM(G12:G13,G15)-(G16))*(1+'Fane 14. Nøgletal'!C10)</f>
        <v>17326361.924205791</v>
      </c>
      <c r="H20" s="14" t="s">
        <v>3</v>
      </c>
      <c r="I20" s="1"/>
    </row>
    <row r="21" spans="1:9" x14ac:dyDescent="0.45">
      <c r="A21" s="1"/>
      <c r="B21" s="107" t="s">
        <v>51</v>
      </c>
      <c r="C21" s="108"/>
      <c r="D21" s="108"/>
      <c r="E21" s="108"/>
      <c r="F21" s="109"/>
      <c r="G21" s="68">
        <v>0</v>
      </c>
      <c r="H21" s="14" t="s">
        <v>3</v>
      </c>
      <c r="I21" s="1"/>
    </row>
    <row r="22" spans="1:9" x14ac:dyDescent="0.45">
      <c r="A22" s="1"/>
      <c r="B22" s="104" t="s">
        <v>52</v>
      </c>
      <c r="C22" s="105"/>
      <c r="D22" s="105"/>
      <c r="E22" s="105"/>
      <c r="F22" s="106"/>
      <c r="G22" s="24">
        <f>SUM(G20:G21)*'Fane 14. Nøgletal'!C29</f>
        <v>346527.23848411581</v>
      </c>
      <c r="H22" s="14" t="s">
        <v>3</v>
      </c>
      <c r="I22" s="1"/>
    </row>
    <row r="23" spans="1:9" x14ac:dyDescent="0.4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95" t="s">
        <v>59</v>
      </c>
      <c r="C25" s="96"/>
      <c r="D25" s="96"/>
      <c r="E25" s="96"/>
      <c r="F25" s="96"/>
      <c r="G25" s="96"/>
      <c r="H25" s="97"/>
      <c r="I25" s="1"/>
    </row>
    <row r="26" spans="1:9" x14ac:dyDescent="0.45">
      <c r="A26" s="1"/>
      <c r="B26" s="104" t="s">
        <v>53</v>
      </c>
      <c r="C26" s="105"/>
      <c r="D26" s="105"/>
      <c r="E26" s="105"/>
      <c r="F26" s="106"/>
      <c r="G26" s="24">
        <f>(G20+G21-G22)*(1+'Fane 14. Nøgletal'!C12)</f>
        <v>17314337.429030396</v>
      </c>
      <c r="H26" s="14" t="s">
        <v>3</v>
      </c>
      <c r="I26" s="1"/>
    </row>
    <row r="27" spans="1:9" x14ac:dyDescent="0.45">
      <c r="A27" s="1"/>
      <c r="B27" s="107" t="s">
        <v>54</v>
      </c>
      <c r="C27" s="108"/>
      <c r="D27" s="108"/>
      <c r="E27" s="108"/>
      <c r="F27" s="109"/>
      <c r="G27" s="68">
        <v>0</v>
      </c>
      <c r="H27" s="14" t="s">
        <v>3</v>
      </c>
      <c r="I27" s="1"/>
    </row>
    <row r="28" spans="1:9" x14ac:dyDescent="0.45">
      <c r="A28" s="1"/>
      <c r="B28" s="104" t="s">
        <v>55</v>
      </c>
      <c r="C28" s="105"/>
      <c r="D28" s="105"/>
      <c r="E28" s="105"/>
      <c r="F28" s="106"/>
      <c r="G28" s="24">
        <f>(G26+G27)*'Fane 14. Nøgletal'!C29</f>
        <v>346286.74858060793</v>
      </c>
      <c r="H28" s="14" t="s">
        <v>3</v>
      </c>
      <c r="I28" s="1"/>
    </row>
    <row r="29" spans="1:9" x14ac:dyDescent="0.4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95" t="s">
        <v>62</v>
      </c>
      <c r="C31" s="96"/>
      <c r="D31" s="96"/>
      <c r="E31" s="96"/>
      <c r="F31" s="96"/>
      <c r="G31" s="96"/>
      <c r="H31" s="97"/>
      <c r="I31" s="1"/>
    </row>
    <row r="32" spans="1:9" x14ac:dyDescent="0.45">
      <c r="A32" s="1"/>
      <c r="B32" s="104" t="s">
        <v>63</v>
      </c>
      <c r="C32" s="105"/>
      <c r="D32" s="105"/>
      <c r="E32" s="105"/>
      <c r="F32" s="106"/>
      <c r="G32" s="24">
        <f>(G26+G27-G28)*(1+'Fane 14. Nøgletal'!C12)</f>
        <v>17302321.27885465</v>
      </c>
      <c r="H32" s="14" t="s">
        <v>3</v>
      </c>
      <c r="I32" s="1"/>
    </row>
    <row r="33" spans="1:9" x14ac:dyDescent="0.45">
      <c r="A33" s="1"/>
      <c r="B33" s="104" t="s">
        <v>171</v>
      </c>
      <c r="C33" s="105"/>
      <c r="D33" s="105"/>
      <c r="E33" s="105"/>
      <c r="F33" s="106"/>
      <c r="G33" s="24">
        <v>554897.70084168005</v>
      </c>
      <c r="H33" s="14" t="s">
        <v>3</v>
      </c>
      <c r="I33" s="1"/>
    </row>
    <row r="34" spans="1:9" x14ac:dyDescent="0.45">
      <c r="A34" s="1"/>
      <c r="B34" s="104" t="s">
        <v>64</v>
      </c>
      <c r="C34" s="105"/>
      <c r="D34" s="105"/>
      <c r="E34" s="105"/>
      <c r="F34" s="106"/>
      <c r="G34" s="24">
        <f>(G32+G33)*'Fane 14. Nøgletal'!C29</f>
        <v>357144.3795939266</v>
      </c>
      <c r="H34" s="14" t="s">
        <v>3</v>
      </c>
      <c r="I34" s="1"/>
    </row>
    <row r="35" spans="1:9" x14ac:dyDescent="0.4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95" t="s">
        <v>232</v>
      </c>
      <c r="C37" s="96"/>
      <c r="D37" s="96"/>
      <c r="E37" s="96"/>
      <c r="F37" s="96"/>
      <c r="G37" s="96"/>
      <c r="H37" s="97"/>
      <c r="I37" s="1"/>
    </row>
    <row r="38" spans="1:9" x14ac:dyDescent="0.45">
      <c r="A38" s="1"/>
      <c r="B38" s="104" t="s">
        <v>84</v>
      </c>
      <c r="C38" s="105"/>
      <c r="D38" s="105"/>
      <c r="E38" s="105"/>
      <c r="F38" s="106"/>
      <c r="G38" s="24">
        <f>(G32+G33-G34)*(1+'Fane 14. Nøgletal'!C14)</f>
        <v>17557824.846282743</v>
      </c>
      <c r="H38" s="14" t="s">
        <v>3</v>
      </c>
      <c r="I38" s="1"/>
    </row>
    <row r="39" spans="1:9" x14ac:dyDescent="0.45">
      <c r="A39" s="1"/>
      <c r="B39" s="104" t="s">
        <v>236</v>
      </c>
      <c r="C39" s="105"/>
      <c r="D39" s="105"/>
      <c r="E39" s="105"/>
      <c r="F39" s="106"/>
      <c r="G39" s="68">
        <f>SUM('Fane 2.1. Økonomisk ramme 2022'!C10,'Fane 2.1. Økonomisk ramme 2022'!C12,'Fane 2.1. Økonomisk ramme 2022'!C14)*(1+'Fane 14. Nøgletal'!C14)</f>
        <v>0</v>
      </c>
      <c r="H39" s="14" t="s">
        <v>3</v>
      </c>
      <c r="I39" s="1"/>
    </row>
    <row r="40" spans="1:9" x14ac:dyDescent="0.45">
      <c r="A40" s="1"/>
      <c r="B40" s="104" t="s">
        <v>234</v>
      </c>
      <c r="C40" s="105"/>
      <c r="D40" s="105"/>
      <c r="E40" s="105"/>
      <c r="F40" s="106"/>
      <c r="G40" s="24">
        <f>(G38+G39)*'Fane 14. Nøgletal'!C29</f>
        <v>351156.49692565488</v>
      </c>
      <c r="H40" s="14" t="s">
        <v>3</v>
      </c>
      <c r="I40" s="1"/>
    </row>
    <row r="41" spans="1:9" x14ac:dyDescent="0.4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95" t="s">
        <v>233</v>
      </c>
      <c r="C43" s="96"/>
      <c r="D43" s="96"/>
      <c r="E43" s="96"/>
      <c r="F43" s="96"/>
      <c r="G43" s="96"/>
      <c r="H43" s="97"/>
      <c r="I43" s="1"/>
    </row>
    <row r="44" spans="1:9" x14ac:dyDescent="0.45">
      <c r="A44" s="1"/>
      <c r="B44" s="104" t="s">
        <v>83</v>
      </c>
      <c r="C44" s="105"/>
      <c r="D44" s="105"/>
      <c r="E44" s="105"/>
      <c r="F44" s="106"/>
      <c r="G44" s="24">
        <f>(G38+G39-G40)*(1+'Fane 14. Nøgletal'!C14)</f>
        <v>17263450.354909968</v>
      </c>
      <c r="H44" s="14" t="s">
        <v>3</v>
      </c>
      <c r="I44" s="1"/>
    </row>
    <row r="45" spans="1:9" x14ac:dyDescent="0.45">
      <c r="A45" s="1"/>
      <c r="B45" s="110" t="s">
        <v>237</v>
      </c>
      <c r="C45" s="111"/>
      <c r="D45" s="111"/>
      <c r="E45" s="111"/>
      <c r="F45" s="112"/>
      <c r="G45" s="68">
        <f>G39*(1+'Fane 14. Nøgletal'!C14)</f>
        <v>0</v>
      </c>
      <c r="H45" s="14" t="s">
        <v>3</v>
      </c>
      <c r="I45" s="1"/>
    </row>
    <row r="46" spans="1:9" x14ac:dyDescent="0.45">
      <c r="A46" s="1"/>
      <c r="B46" s="104" t="s">
        <v>97</v>
      </c>
      <c r="C46" s="105"/>
      <c r="D46" s="105"/>
      <c r="E46" s="105"/>
      <c r="F46" s="106"/>
      <c r="G46" s="68">
        <f>-'Fane 13. Bortfald'!C18*(1+'Fane 14. Nøgletal'!C14)</f>
        <v>0</v>
      </c>
      <c r="H46" s="14" t="s">
        <v>3</v>
      </c>
      <c r="I46" s="1"/>
    </row>
    <row r="47" spans="1:9" x14ac:dyDescent="0.45">
      <c r="A47" s="1"/>
      <c r="B47" s="104" t="s">
        <v>235</v>
      </c>
      <c r="C47" s="105"/>
      <c r="D47" s="105"/>
      <c r="E47" s="105"/>
      <c r="F47" s="106"/>
      <c r="G47" s="24">
        <f>(G44+G46)*'Fane 14. Nøgletal'!C29</f>
        <v>345269.00709819933</v>
      </c>
      <c r="H47" s="14" t="s">
        <v>3</v>
      </c>
      <c r="I47" s="1"/>
    </row>
    <row r="48" spans="1:9" x14ac:dyDescent="0.4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5" t="s">
        <v>172</v>
      </c>
      <c r="C52" s="96"/>
      <c r="D52" s="96"/>
      <c r="E52" s="96"/>
      <c r="F52" s="96"/>
      <c r="G52" s="96"/>
      <c r="H52" s="97"/>
      <c r="I52" s="1"/>
    </row>
    <row r="53" spans="1:9" x14ac:dyDescent="0.45">
      <c r="A53" s="1"/>
      <c r="B53" s="104" t="s">
        <v>173</v>
      </c>
      <c r="C53" s="105"/>
      <c r="D53" s="105"/>
      <c r="E53" s="105"/>
      <c r="F53" s="106"/>
      <c r="G53" s="24">
        <f>(G44+G46-G47)*(1+'Fane 14. Nøgletal'!C14)</f>
        <v>16974011.346259549</v>
      </c>
      <c r="H53" s="14" t="s">
        <v>3</v>
      </c>
      <c r="I53" s="1"/>
    </row>
    <row r="54" spans="1:9" x14ac:dyDescent="0.45">
      <c r="A54" s="1"/>
      <c r="B54" s="104" t="s">
        <v>174</v>
      </c>
      <c r="C54" s="105"/>
      <c r="D54" s="105"/>
      <c r="E54" s="105"/>
      <c r="F54" s="106"/>
      <c r="G54" s="68">
        <f>-'Fane 13. Bortfald'!C24*(1+'Fane 14. Nøgletal'!C14)</f>
        <v>0</v>
      </c>
      <c r="H54" s="14" t="s">
        <v>3</v>
      </c>
      <c r="I54" s="1"/>
    </row>
    <row r="55" spans="1:9" x14ac:dyDescent="0.45">
      <c r="A55" s="1"/>
      <c r="B55" s="104" t="s">
        <v>175</v>
      </c>
      <c r="C55" s="105"/>
      <c r="D55" s="105"/>
      <c r="E55" s="105"/>
      <c r="F55" s="106"/>
      <c r="G55" s="24">
        <f>(G53+G54)*'Fane 14. Nøgletal'!C29</f>
        <v>339480.226925191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54" t="s">
        <v>201</v>
      </c>
      <c r="C58" s="55"/>
      <c r="D58" s="55"/>
      <c r="E58" s="55"/>
      <c r="F58" s="55"/>
      <c r="G58" s="55"/>
      <c r="H58" s="56"/>
      <c r="I58" s="1"/>
    </row>
    <row r="59" spans="1:9" x14ac:dyDescent="0.45">
      <c r="A59" s="1"/>
      <c r="B59" s="59" t="s">
        <v>202</v>
      </c>
      <c r="C59" s="60"/>
      <c r="D59" s="60"/>
      <c r="E59" s="60"/>
      <c r="F59" s="61"/>
      <c r="G59" s="24">
        <f>(G53+G54-G55)*(1+'Fane 14. Nøgletal'!C14)</f>
        <v>16689425.072028164</v>
      </c>
      <c r="H59" s="14" t="s">
        <v>3</v>
      </c>
      <c r="I59" s="1"/>
    </row>
    <row r="60" spans="1:9" x14ac:dyDescent="0.45">
      <c r="A60" s="1"/>
      <c r="B60" s="59" t="s">
        <v>203</v>
      </c>
      <c r="C60" s="60"/>
      <c r="D60" s="60"/>
      <c r="E60" s="60"/>
      <c r="F60" s="61"/>
      <c r="G60" s="68">
        <f>-'Fane 13. Bortfald'!C30*(1+'Fane 14. Nøgletal'!C14)</f>
        <v>0</v>
      </c>
      <c r="H60" s="14" t="s">
        <v>3</v>
      </c>
      <c r="I60" s="1"/>
    </row>
    <row r="61" spans="1:9" x14ac:dyDescent="0.45">
      <c r="A61" s="1"/>
      <c r="B61" s="59" t="s">
        <v>204</v>
      </c>
      <c r="C61" s="60"/>
      <c r="D61" s="60"/>
      <c r="E61" s="60"/>
      <c r="F61" s="61"/>
      <c r="G61" s="24">
        <f>(G59+G60)*'Fane 14. Nøgletal'!C29</f>
        <v>333788.5014405633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VQW6/J5gr3e7T8EvdinL8ErXvwc3OMZV44ICzNBfxIDwoPIK3S+gYnvoBhIg2avt7Vb8jRU9m0snsArt8VItnA==" saltValue="/LwkU8AVGLlQPe8wZRYiig==" spinCount="100000" sheet="1" objects="1" scenarios="1"/>
  <mergeCells count="36"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4.25" customHeight="1" x14ac:dyDescent="0.4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45">
      <c r="A2" s="1"/>
      <c r="B2" s="113"/>
      <c r="C2" s="113"/>
      <c r="D2" s="113"/>
      <c r="E2" s="113"/>
      <c r="F2" s="113"/>
      <c r="G2" s="113"/>
      <c r="H2" s="113"/>
      <c r="I2" s="1"/>
    </row>
    <row r="3" spans="1:9" ht="15" customHeight="1" x14ac:dyDescent="0.45">
      <c r="A3" s="1"/>
      <c r="B3" s="114"/>
      <c r="C3" s="114"/>
      <c r="D3" s="114"/>
      <c r="E3" s="114"/>
      <c r="F3" s="114"/>
      <c r="G3" s="114"/>
      <c r="H3" s="114"/>
      <c r="I3" s="1"/>
    </row>
    <row r="4" spans="1:9" x14ac:dyDescent="0.45">
      <c r="A4" s="1"/>
      <c r="B4" s="95" t="s">
        <v>60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104" t="s">
        <v>65</v>
      </c>
      <c r="C5" s="105"/>
      <c r="D5" s="105"/>
      <c r="E5" s="105"/>
      <c r="F5" s="106"/>
      <c r="G5" s="24">
        <v>34281390.485455699</v>
      </c>
      <c r="H5" s="14" t="s">
        <v>3</v>
      </c>
      <c r="I5" s="1"/>
    </row>
    <row r="6" spans="1:9" x14ac:dyDescent="0.45">
      <c r="A6" s="1"/>
      <c r="B6" s="104" t="s">
        <v>61</v>
      </c>
      <c r="C6" s="105"/>
      <c r="D6" s="105"/>
      <c r="E6" s="105"/>
      <c r="F6" s="106"/>
      <c r="G6" s="24">
        <f>G5*'Fane 14. Nøgletal'!C19</f>
        <v>311960.65341764688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66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104" t="s">
        <v>67</v>
      </c>
      <c r="C10" s="105"/>
      <c r="D10" s="105"/>
      <c r="E10" s="105"/>
      <c r="F10" s="106"/>
      <c r="G10" s="24">
        <f>(G5-G6)*(1+'Fane 14. Nøgletal'!C10)</f>
        <v>34563894.854098722</v>
      </c>
      <c r="H10" s="14" t="s">
        <v>3</v>
      </c>
      <c r="I10" s="1"/>
    </row>
    <row r="11" spans="1:9" x14ac:dyDescent="0.45">
      <c r="A11" s="1"/>
      <c r="B11" s="104" t="s">
        <v>147</v>
      </c>
      <c r="C11" s="105"/>
      <c r="D11" s="105"/>
      <c r="E11" s="105"/>
      <c r="F11" s="106"/>
      <c r="G11" s="24">
        <v>890556.02083197457</v>
      </c>
      <c r="H11" s="14" t="s">
        <v>3</v>
      </c>
      <c r="I11" s="1"/>
    </row>
    <row r="12" spans="1:9" x14ac:dyDescent="0.45">
      <c r="A12" s="1"/>
      <c r="B12" s="107" t="s">
        <v>68</v>
      </c>
      <c r="C12" s="108"/>
      <c r="D12" s="108"/>
      <c r="E12" s="108"/>
      <c r="F12" s="109"/>
      <c r="G12" s="68">
        <v>0</v>
      </c>
      <c r="H12" s="14" t="s">
        <v>3</v>
      </c>
      <c r="I12" s="1"/>
    </row>
    <row r="13" spans="1:9" x14ac:dyDescent="0.45">
      <c r="A13" s="1"/>
      <c r="B13" s="104" t="s">
        <v>69</v>
      </c>
      <c r="C13" s="105"/>
      <c r="D13" s="105"/>
      <c r="E13" s="105"/>
      <c r="F13" s="106"/>
      <c r="G13" s="24">
        <f>SUM(G10:G12)*'Fane 14. Nøgletal'!C20</f>
        <v>627543.78048627335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5" t="s">
        <v>70</v>
      </c>
      <c r="C16" s="96"/>
      <c r="D16" s="96"/>
      <c r="E16" s="96"/>
      <c r="F16" s="96"/>
      <c r="G16" s="96"/>
      <c r="H16" s="97"/>
      <c r="I16" s="1"/>
    </row>
    <row r="17" spans="1:9" x14ac:dyDescent="0.45">
      <c r="A17" s="1"/>
      <c r="B17" s="104" t="s">
        <v>71</v>
      </c>
      <c r="C17" s="105"/>
      <c r="D17" s="105"/>
      <c r="E17" s="105"/>
      <c r="F17" s="106"/>
      <c r="G17" s="24">
        <f>(SUM(G10:G12)-G13)*(1+'Fane 14. Nøgletal'!C10)</f>
        <v>35436377.968597203</v>
      </c>
      <c r="H17" s="14" t="s">
        <v>3</v>
      </c>
      <c r="I17" s="1"/>
    </row>
    <row r="18" spans="1:9" x14ac:dyDescent="0.45">
      <c r="A18" s="1"/>
      <c r="B18" s="107" t="s">
        <v>72</v>
      </c>
      <c r="C18" s="108"/>
      <c r="D18" s="108"/>
      <c r="E18" s="108"/>
      <c r="F18" s="109"/>
      <c r="G18" s="24">
        <v>467681.76249225991</v>
      </c>
      <c r="H18" s="14" t="s">
        <v>3</v>
      </c>
      <c r="I18" s="1"/>
    </row>
    <row r="19" spans="1:9" x14ac:dyDescent="0.45">
      <c r="A19" s="1"/>
      <c r="B19" s="104" t="s">
        <v>73</v>
      </c>
      <c r="C19" s="105"/>
      <c r="D19" s="105"/>
      <c r="E19" s="105"/>
      <c r="F19" s="106"/>
      <c r="G19" s="24">
        <f>G17*'Fane 14. Nøgletal'!C20+G18*'Fane 14. Nøgletal'!C21</f>
        <v>631292.72137785319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74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104" t="s">
        <v>75</v>
      </c>
      <c r="C23" s="105"/>
      <c r="D23" s="105"/>
      <c r="E23" s="105"/>
      <c r="F23" s="106"/>
      <c r="G23" s="24">
        <f>(G17+G18-G19)*(1+'Fane 14. Nøgletal'!C12)</f>
        <v>35967640.519802935</v>
      </c>
      <c r="H23" s="14" t="s">
        <v>3</v>
      </c>
      <c r="I23" s="1"/>
    </row>
    <row r="24" spans="1:9" x14ac:dyDescent="0.45">
      <c r="A24" s="1"/>
      <c r="B24" s="107" t="s">
        <v>76</v>
      </c>
      <c r="C24" s="108"/>
      <c r="D24" s="108"/>
      <c r="E24" s="108"/>
      <c r="F24" s="109"/>
      <c r="G24" s="68">
        <v>0</v>
      </c>
      <c r="H24" s="14" t="s">
        <v>3</v>
      </c>
      <c r="I24" s="1"/>
    </row>
    <row r="25" spans="1:9" x14ac:dyDescent="0.45">
      <c r="A25" s="1"/>
      <c r="B25" s="104" t="s">
        <v>77</v>
      </c>
      <c r="C25" s="105"/>
      <c r="D25" s="105"/>
      <c r="E25" s="105"/>
      <c r="F25" s="106"/>
      <c r="G25" s="24">
        <f>(G23+G24)*'Fane 14. Nøgletal'!C22</f>
        <v>1021480.9907624035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78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104" t="s">
        <v>79</v>
      </c>
      <c r="C29" s="105"/>
      <c r="D29" s="105"/>
      <c r="E29" s="105"/>
      <c r="F29" s="106"/>
      <c r="G29" s="24">
        <f>(G23+G24-G25)*(1+'Fane 14. Nøgletal'!C12)</f>
        <v>35634598.871762633</v>
      </c>
      <c r="H29" s="14" t="s">
        <v>3</v>
      </c>
      <c r="I29" s="1"/>
    </row>
    <row r="30" spans="1:9" x14ac:dyDescent="0.45">
      <c r="A30" s="1"/>
      <c r="B30" s="104" t="s">
        <v>176</v>
      </c>
      <c r="C30" s="105"/>
      <c r="D30" s="105"/>
      <c r="E30" s="105"/>
      <c r="F30" s="106"/>
      <c r="G30" s="24">
        <v>989913.96646380005</v>
      </c>
      <c r="H30" s="14" t="s">
        <v>3</v>
      </c>
      <c r="I30" s="1"/>
    </row>
    <row r="31" spans="1:9" x14ac:dyDescent="0.45">
      <c r="A31" s="1"/>
      <c r="B31" s="104" t="s">
        <v>80</v>
      </c>
      <c r="C31" s="105"/>
      <c r="D31" s="105"/>
      <c r="E31" s="105"/>
      <c r="F31" s="106"/>
      <c r="G31" s="24">
        <f>G29*'Fane 14. Nøgletal'!C22+G30*'Fane 14. Nøgletal'!C23</f>
        <v>1039245.2420358133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238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104" t="s">
        <v>82</v>
      </c>
      <c r="C35" s="105"/>
      <c r="D35" s="105"/>
      <c r="E35" s="105"/>
      <c r="F35" s="106"/>
      <c r="G35" s="24">
        <f>(G29+G30-G31)*(1+'Fane 14. Nøgletal'!C14)</f>
        <v>35702698.979258046</v>
      </c>
      <c r="H35" s="14" t="s">
        <v>3</v>
      </c>
      <c r="I35" s="1"/>
    </row>
    <row r="36" spans="1:9" x14ac:dyDescent="0.45">
      <c r="A36" s="1"/>
      <c r="B36" s="104" t="s">
        <v>240</v>
      </c>
      <c r="C36" s="105"/>
      <c r="D36" s="105"/>
      <c r="E36" s="105"/>
      <c r="F36" s="106"/>
      <c r="G36" s="68">
        <f>SUM('Fane 2.1. Økonomisk ramme 2022'!C11,'Fane 2.1. Økonomisk ramme 2022'!C13,'Fane 2.1. Økonomisk ramme 2022'!C15)*(1+'Fane 14. Nøgletal'!C14)</f>
        <v>0</v>
      </c>
      <c r="H36" s="14" t="s">
        <v>3</v>
      </c>
      <c r="I36" s="1"/>
    </row>
    <row r="37" spans="1:9" x14ac:dyDescent="0.45">
      <c r="A37" s="1"/>
      <c r="B37" s="104" t="s">
        <v>239</v>
      </c>
      <c r="C37" s="105"/>
      <c r="D37" s="105"/>
      <c r="E37" s="105"/>
      <c r="F37" s="106"/>
      <c r="G37" s="24">
        <f>(G35+G36)*'Fane 14. Nøgletal'!C24</f>
        <v>528399.94489301904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85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104" t="s">
        <v>81</v>
      </c>
      <c r="C41" s="105"/>
      <c r="D41" s="105"/>
      <c r="E41" s="105"/>
      <c r="F41" s="106"/>
      <c r="G41" s="24">
        <f>(G35+G36-G37)*(1+'Fane 14. Nøgletal'!C14)</f>
        <v>35290374.221178435</v>
      </c>
      <c r="H41" s="14" t="s">
        <v>3</v>
      </c>
      <c r="I41" s="1"/>
    </row>
    <row r="42" spans="1:9" x14ac:dyDescent="0.45">
      <c r="A42" s="1"/>
      <c r="B42" s="47" t="s">
        <v>242</v>
      </c>
      <c r="C42" s="60"/>
      <c r="D42" s="60"/>
      <c r="E42" s="60"/>
      <c r="F42" s="61"/>
      <c r="G42" s="68">
        <f>G36*(1+'Fane 14. Nøgletal'!C14)</f>
        <v>0</v>
      </c>
      <c r="H42" s="14" t="s">
        <v>3</v>
      </c>
      <c r="I42" s="1"/>
    </row>
    <row r="43" spans="1:9" x14ac:dyDescent="0.45">
      <c r="A43" s="1"/>
      <c r="B43" s="104" t="s">
        <v>101</v>
      </c>
      <c r="C43" s="105"/>
      <c r="D43" s="105"/>
      <c r="E43" s="105"/>
      <c r="F43" s="106"/>
      <c r="G43" s="68">
        <f>-'Fane 13. Bortfald'!E18*(1+'Fane 14. Nøgletal'!C14)</f>
        <v>0</v>
      </c>
      <c r="H43" s="14" t="s">
        <v>3</v>
      </c>
      <c r="I43" s="1"/>
    </row>
    <row r="44" spans="1:9" x14ac:dyDescent="0.45">
      <c r="A44" s="1"/>
      <c r="B44" s="104" t="s">
        <v>241</v>
      </c>
      <c r="C44" s="105"/>
      <c r="D44" s="105"/>
      <c r="E44" s="105"/>
      <c r="F44" s="106"/>
      <c r="G44" s="24">
        <f>(G41+G43)*'Fane 14. Nøgletal'!C24</f>
        <v>522297.53847344086</v>
      </c>
      <c r="H44" s="14" t="s">
        <v>3</v>
      </c>
      <c r="I44" s="1"/>
    </row>
    <row r="45" spans="1:9" x14ac:dyDescent="0.4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5" t="s">
        <v>181</v>
      </c>
      <c r="C52" s="96"/>
      <c r="D52" s="96"/>
      <c r="E52" s="96"/>
      <c r="F52" s="96"/>
      <c r="G52" s="96"/>
      <c r="H52" s="97"/>
      <c r="I52" s="1"/>
    </row>
    <row r="53" spans="1:9" x14ac:dyDescent="0.45">
      <c r="A53" s="1"/>
      <c r="B53" s="104" t="s">
        <v>182</v>
      </c>
      <c r="C53" s="105"/>
      <c r="D53" s="105"/>
      <c r="E53" s="105"/>
      <c r="F53" s="106"/>
      <c r="G53" s="24">
        <f>(G41+G43-G44)*(1+'Fane 14. Nøgletal'!C14)</f>
        <v>34882811.335757919</v>
      </c>
      <c r="H53" s="14" t="s">
        <v>3</v>
      </c>
      <c r="I53" s="1"/>
    </row>
    <row r="54" spans="1:9" x14ac:dyDescent="0.45">
      <c r="A54" s="1"/>
      <c r="B54" s="104" t="s">
        <v>183</v>
      </c>
      <c r="C54" s="105"/>
      <c r="D54" s="105"/>
      <c r="E54" s="105"/>
      <c r="F54" s="106"/>
      <c r="G54" s="68">
        <f>-'Fane 13. Bortfald'!E24*(1+'Fane 14. Nøgletal'!C13)</f>
        <v>0</v>
      </c>
      <c r="H54" s="14" t="s">
        <v>3</v>
      </c>
      <c r="I54" s="1"/>
    </row>
    <row r="55" spans="1:9" x14ac:dyDescent="0.45">
      <c r="A55" s="1"/>
      <c r="B55" s="104" t="s">
        <v>184</v>
      </c>
      <c r="C55" s="105"/>
      <c r="D55" s="105"/>
      <c r="E55" s="105"/>
      <c r="F55" s="106"/>
      <c r="G55" s="24">
        <f>(G53+G54)*'Fane 14. Nøgletal'!C24</f>
        <v>516265.60776921723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95" t="s">
        <v>205</v>
      </c>
      <c r="C58" s="96"/>
      <c r="D58" s="96"/>
      <c r="E58" s="96"/>
      <c r="F58" s="96"/>
      <c r="G58" s="96"/>
      <c r="H58" s="97"/>
      <c r="I58" s="1"/>
    </row>
    <row r="59" spans="1:9" x14ac:dyDescent="0.45">
      <c r="A59" s="1"/>
      <c r="B59" s="104" t="s">
        <v>255</v>
      </c>
      <c r="C59" s="105"/>
      <c r="D59" s="105"/>
      <c r="E59" s="105"/>
      <c r="F59" s="106"/>
      <c r="G59" s="24">
        <f>(G53+G54-G55)*(1+'Fane 14. Nøgletal'!C14)</f>
        <v>34479955.328891069</v>
      </c>
      <c r="H59" s="14" t="s">
        <v>3</v>
      </c>
      <c r="I59" s="1"/>
    </row>
    <row r="60" spans="1:9" x14ac:dyDescent="0.45">
      <c r="A60" s="1"/>
      <c r="B60" s="104" t="s">
        <v>256</v>
      </c>
      <c r="C60" s="105"/>
      <c r="D60" s="105"/>
      <c r="E60" s="105"/>
      <c r="F60" s="106"/>
      <c r="G60" s="68">
        <f>-'Fane 13. Bortfald'!E30*(1+'Fane 14. Nøgletal'!C14)</f>
        <v>0</v>
      </c>
      <c r="H60" s="14" t="s">
        <v>3</v>
      </c>
      <c r="I60" s="1"/>
    </row>
    <row r="61" spans="1:9" x14ac:dyDescent="0.45">
      <c r="A61" s="1"/>
      <c r="B61" s="104" t="s">
        <v>257</v>
      </c>
      <c r="C61" s="105"/>
      <c r="D61" s="105"/>
      <c r="E61" s="105"/>
      <c r="F61" s="106"/>
      <c r="G61" s="24">
        <f>(G59+G60)*'Fane 14. Nøgletal'!C24</f>
        <v>510303.33886758785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KaqAc9NyuD9CsrzcLqrR1huDKYxEakQ2s8wXWO1nif/mc1trEDCvH8wqpOSlb6m2G1RHSt6rtQckOOJulF/exg==" saltValue="Tp+mXdNpAGakFC0x7F1PgA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4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104" t="s">
        <v>243</v>
      </c>
      <c r="C9" s="105"/>
      <c r="D9" s="105"/>
      <c r="E9" s="105"/>
      <c r="F9" s="106"/>
      <c r="G9" s="23">
        <v>8.1348683038327107E-3</v>
      </c>
      <c r="H9" s="14"/>
      <c r="I9" s="1"/>
    </row>
    <row r="10" spans="1:9" x14ac:dyDescent="0.45">
      <c r="A10" s="1"/>
      <c r="B10" s="104" t="s">
        <v>86</v>
      </c>
      <c r="C10" s="105"/>
      <c r="D10" s="105"/>
      <c r="E10" s="105"/>
      <c r="F10" s="106"/>
      <c r="G10" s="23">
        <v>3.4360970724339811E-3</v>
      </c>
      <c r="H10" s="14"/>
      <c r="I10" s="1"/>
    </row>
    <row r="11" spans="1:9" x14ac:dyDescent="0.45">
      <c r="A11" s="1"/>
      <c r="B11" s="104" t="s">
        <v>87</v>
      </c>
      <c r="C11" s="105"/>
      <c r="D11" s="105"/>
      <c r="E11" s="105"/>
      <c r="F11" s="106"/>
      <c r="G11" s="41">
        <v>0.02</v>
      </c>
      <c r="H11" s="14"/>
      <c r="I11" s="1"/>
    </row>
    <row r="12" spans="1:9" x14ac:dyDescent="0.45">
      <c r="A12" s="1"/>
      <c r="B12" s="104" t="s">
        <v>206</v>
      </c>
      <c r="C12" s="105"/>
      <c r="D12" s="105"/>
      <c r="E12" s="105"/>
      <c r="F12" s="106"/>
      <c r="G12" s="41">
        <v>0.02</v>
      </c>
      <c r="H12" s="46"/>
      <c r="I12" s="1"/>
    </row>
    <row r="13" spans="1:9" x14ac:dyDescent="0.4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45">
      <c r="A14" s="1"/>
      <c r="B14" s="115" t="s">
        <v>207</v>
      </c>
      <c r="C14" s="115"/>
      <c r="D14" s="115"/>
      <c r="E14" s="115"/>
      <c r="F14" s="115"/>
      <c r="G14" s="115"/>
      <c r="H14" s="115"/>
      <c r="I14" s="1"/>
    </row>
    <row r="15" spans="1:9" ht="14.25" customHeight="1" x14ac:dyDescent="0.45">
      <c r="A15" s="18"/>
      <c r="B15" s="115"/>
      <c r="C15" s="115"/>
      <c r="D15" s="115"/>
      <c r="E15" s="115"/>
      <c r="F15" s="115"/>
      <c r="G15" s="115"/>
      <c r="H15" s="115"/>
      <c r="I15" s="18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Qb5VtKGozjP3LM5fQ0K+vJDgdlJavW/a/EpkpvUg7GA8WkH40ifNiyy7kEuPd7zZ86OVA49ZSO8W3GostvF5A==" saltValue="dYSdkZHayoqI37UijNsazA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2021-09-13T01:04:07Z</dcterms:modified>
</cp:coreProperties>
</file>