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NK-Vand AS (V137)\ØR2024\"/>
    </mc:Choice>
  </mc:AlternateContent>
  <xr:revisionPtr revIDLastSave="0" documentId="13_ncr:1_{97D381F0-EBFD-4D91-9DD7-C0A4FD27C4BE}"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1"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2024'!$B$7:$D$35</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C17" i="22" l="1"/>
  <c r="C17" i="15"/>
  <c r="C29" i="2"/>
  <c r="E22" i="41"/>
  <c r="E26" i="41" s="1"/>
  <c r="E30" i="41" l="1"/>
  <c r="E32" i="41" s="1"/>
  <c r="C8" i="2"/>
  <c r="C13" i="29" l="1"/>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C34" i="2" s="1"/>
  <c r="G58" i="36" l="1"/>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<sst xmlns="http://schemas.openxmlformats.org/spreadsheetml/2006/main" count="552" uniqueCount="264">
  <si>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</si>
  <si>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</si>
  <si>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</si>
  <si>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</si>
  <si>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</si>
  <si>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</si>
  <si>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</si>
  <si>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</si>
  <si>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</si>
  <si>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</si>
  <si>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</si>
  <si>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</si>
  <si>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</si>
  <si>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</si>
  <si>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</si>
  <si>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</si>
  <si>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</si>
  <si>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</si>
  <si>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</si>
  <si>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</si>
  <si>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</si>
  <si>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</si>
  <si>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</si>
  <si>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</si>
  <si>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</si>
  <si>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</si>
  <si>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</si>
  <si>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</si>
  <si>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</si>
  <si>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</si>
  <si>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</si>
  <si>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</si>
  <si>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</si>
  <si>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</si>
  <si>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</si>
  <si>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</si>
  <si>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</si>
  <si>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</si>
  <si>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</si>
  <si>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</si>
  <si>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</si>
  <si>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</si>
  <si>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</si>
  <si>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</si>
  <si>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</si>
  <si>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</si>
  <si>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</si>
  <si>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</si>
  <si>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</si>
  <si>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</si>
  <si>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</si>
  <si>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</si>
  <si>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</si>
  <si>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</si>
  <si>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</si>
  <si>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</si>
  <si>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</si>
  <si>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</si>
  <si>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</si>
  <si>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</si>
  <si>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</si>
  <si>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</si>
  <si>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</si>
  <si>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</si>
  <si>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</si>
  <si>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</si>
  <si>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</si>
  <si>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</si>
  <si>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</si>
  <si>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</si>
  <si>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</si>
  <si>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</si>
  <si>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</si>
  <si>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</si>
  <si>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</si>
  <si>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</si>
  <si>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</si>
  <si>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</si>
  <si>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</si>
  <si>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</si>
  <si>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</si>
  <si>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</si>
  <si>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</si>
  <si>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</si>
  <si>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</si>
  <si>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</si>
  <si>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</si>
  <si>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</si>
  <si>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</si>
  <si>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</si>
  <si>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</si>
  <si>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</si>
  <si>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</si>
  <si>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</si>
  <si>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</si>
  <si>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</si>
  <si>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</si>
  <si>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</si>
  <si>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</si>
  <si>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</si>
  <si>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</si>
  <si>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</si>
  <si>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</si>
  <si>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</si>
  <si>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</si>
  <si>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</si>
  <si>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</si>
  <si>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</si>
  <si>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</si>
  <si>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</si>
  <si>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</si>
  <si>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</si>
  <si>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</si>
  <si>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</si>
  <si>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</si>
  <si>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</si>
  <si>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</si>
  <si>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</si>
  <si>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</si>
  <si>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</si>
  <si>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</si>
  <si>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</si>
  <si>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</si>
  <si>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</si>
  <si>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</si>
  <si>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</si>
  <si>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</si>
  <si>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</si>
  <si>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</si>
  <si>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</si>
  <si>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</si>
  <si>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</si>
  <si>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</si>
  <si>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</si>
  <si>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</si>
  <si>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</si>
  <si>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</si>
  <si>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</si>
  <si>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</si>
  <si>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</si>
  <si>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</si>
  <si>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</si>
  <si>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</si>
  <si>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</si>
  <si>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</si>
  <si>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</si>
  <si>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</si>
  <si>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</si>
  <si>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</si>
  <si>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</si>
  <si>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</si>
  <si>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</si>
  <si>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</si>
  <si>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</si>
  <si>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</si>
  <si>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</si>
  <si>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</si>
  <si>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</si>
  <si>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</si>
  <si>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</si>
  <si>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</si>
  <si>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</si>
  <si>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</si>
  <si>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</si>
  <si>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</si>
  <si>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</si>
  <si>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</si>
  <si>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</si>
  <si>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</si>
  <si>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</si>
  <si>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</si>
  <si>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</si>
  <si>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</si>
  <si>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</si>
  <si>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</si>
  <si>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</si>
  <si>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</si>
  <si>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</si>
  <si>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</si>
  <si>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</si>
  <si>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</si>
  <si>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</si>
  <si>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</si>
  <si>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</si>
  <si>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</si>
  <si>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</si>
  <si>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</si>
  <si>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</si>
  <si>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</si>
  <si>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</si>
  <si>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</si>
  <si>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</si>
  <si>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</si>
  <si>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</si>
  <si>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</si>
  <si>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</si>
  <si>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</si>
  <si>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</si>
  <si>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</si>
  <si>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</si>
  <si>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</si>
  <si>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</si>
  <si>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</si>
  <si>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</si>
  <si>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</si>
  <si>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</si>
  <si>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</si>
  <si>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</si>
  <si>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</si>
  <si>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</si>
  <si>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</si>
  <si>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</si>
  <si>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</si>
  <si>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</si>
  <si>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</si>
  <si>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</si>
  <si>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</si>
  <si>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</si>
  <si>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</si>
  <si>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</si>
  <si>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</si>
  <si>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</si>
  <si>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</si>
  <si>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</si>
  <si>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</si>
  <si>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</si>
  <si>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</si>
  <si>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</si>
  <si>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</si>
  <si>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</si>
  <si>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</si>
  <si>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</si>
  <si>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</si>
  <si>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</si>
  <si>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</si>
  <si>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</si>
  <si>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</si>
  <si>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</si>
  <si>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</si>
  <si>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</si>
  <si>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</si>
  <si>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</si>
  <si>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</si>
  <si>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Byggemodninger</t>
  </si>
  <si>
    <t>Ingen engangstillæg</t>
  </si>
  <si>
    <t>Afgift for ledningsført vand</t>
  </si>
  <si>
    <t>Afgift til Forsyningssekretariatet</t>
  </si>
  <si>
    <t>Ejendomsskat</t>
  </si>
  <si>
    <t>Erstatninger</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</si>
  <si>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</si>
  <si>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</si>
  <si>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</si>
  <si>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</si>
  <si>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</si>
  <si>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</si>
  <si>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</si>
  <si>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</si>
  <si>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</si>
  <si>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</si>
  <si>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</si>
  <si>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</si>
  <si>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</si>
  <si>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Justering af den økonomiske ramme</t>
  </si>
  <si>
    <t>Justering af den økonomiske ramme for stigende el-omkostninger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</si>
</sst>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7">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 val="Ark3"/>
    </sheetNames>
    <sheetDataSet>
      <sheetData sheetId="0"/>
      <sheetData sheetId="1">
        <row r="1">
          <cell r="A1" t="str">
            <v>ØR 2024-2027 samt statusmeddelelser</v>
          </cell>
        </row>
      </sheetData>
      <sheetData sheetId="2">
        <row r="1">
          <cell r="A1" t="str">
            <v>ØR 2023-2026 samt statusmeddelelser</v>
          </cell>
        </row>
      </sheetData>
      <sheetData sheetId="3">
        <row r="1">
          <cell r="A1" t="str">
            <v>ØR 2022-2025 samt statusmeddelelser</v>
          </cell>
        </row>
      </sheetData>
      <sheetData sheetId="4">
        <row r="3">
          <cell r="A3" t="str">
            <v>S016</v>
          </cell>
        </row>
      </sheetData>
      <sheetData sheetId="5">
        <row r="3">
          <cell r="A3" t="str">
            <v>S016</v>
          </cell>
        </row>
      </sheetData>
      <sheetData sheetId="6"/>
      <sheetData sheetId="7"/>
      <sheetData sheetId="8"/>
      <sheetData sheetId="9">
        <row r="5">
          <cell r="C5">
            <v>1.0168999999999999</v>
          </cell>
        </row>
      </sheetData>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79" t="s">
        <v>4</v>
      </c>
      <c r="E6" s="79"/>
      <c r="F6" s="79"/>
      <c r="G6" s="79"/>
      <c r="H6" s="3"/>
      <c r="I6" s="1"/>
    </row>
    <row r="7" spans="1:9" ht="15" customHeight="1" x14ac:dyDescent="0.25">
      <c r="A7" s="1"/>
      <c r="B7" s="1"/>
      <c r="C7" s="3"/>
      <c r="D7" s="79"/>
      <c r="E7" s="79"/>
      <c r="F7" s="79"/>
      <c r="G7" s="79"/>
      <c r="H7" s="3"/>
      <c r="I7" s="1"/>
    </row>
    <row r="8" spans="1:9" ht="15.75" x14ac:dyDescent="0.25">
      <c r="A8" s="1"/>
      <c r="B8" s="1"/>
      <c r="C8" s="4"/>
      <c r="D8" s="84" t="s">
        <v>235</v>
      </c>
      <c r="E8" s="84"/>
      <c r="F8" s="84"/>
      <c r="G8" s="84"/>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83" t="s">
        <v>5</v>
      </c>
      <c r="E11" s="83"/>
      <c r="F11" s="83"/>
      <c r="G11" s="83"/>
      <c r="H11" s="5"/>
      <c r="I11" s="1"/>
    </row>
    <row r="12" spans="1:9" x14ac:dyDescent="0.25">
      <c r="A12" s="1"/>
      <c r="B12" s="1"/>
      <c r="C12" s="1"/>
      <c r="D12" s="1"/>
      <c r="E12" s="1"/>
      <c r="F12" s="1"/>
      <c r="G12" s="1"/>
      <c r="H12" s="1"/>
      <c r="I12" s="1"/>
    </row>
    <row r="13" spans="1:9" x14ac:dyDescent="0.25">
      <c r="A13" s="1"/>
      <c r="B13" s="1"/>
      <c r="C13" s="6" t="s">
        <v>6</v>
      </c>
      <c r="D13" s="76" t="s">
        <v>162</v>
      </c>
      <c r="E13" s="77"/>
      <c r="F13" s="77"/>
      <c r="G13" s="78"/>
      <c r="H13" s="1"/>
      <c r="I13" s="1"/>
    </row>
    <row r="14" spans="1:9" x14ac:dyDescent="0.25">
      <c r="A14" s="1"/>
      <c r="B14" s="1"/>
      <c r="C14" s="6" t="s">
        <v>14</v>
      </c>
      <c r="D14" s="76" t="s">
        <v>197</v>
      </c>
      <c r="E14" s="77"/>
      <c r="F14" s="77"/>
      <c r="G14" s="78"/>
      <c r="H14" s="1"/>
      <c r="I14" s="1"/>
    </row>
    <row r="15" spans="1:9" x14ac:dyDescent="0.25">
      <c r="A15" s="1"/>
      <c r="B15" s="1"/>
      <c r="C15" s="6" t="s">
        <v>30</v>
      </c>
      <c r="D15" s="76" t="s">
        <v>141</v>
      </c>
      <c r="E15" s="77"/>
      <c r="F15" s="77"/>
      <c r="G15" s="78"/>
      <c r="H15" s="1"/>
      <c r="I15" s="1"/>
    </row>
    <row r="16" spans="1:9" x14ac:dyDescent="0.25">
      <c r="A16" s="1"/>
      <c r="B16" s="1"/>
      <c r="C16" s="6" t="s">
        <v>31</v>
      </c>
      <c r="D16" s="76" t="s">
        <v>194</v>
      </c>
      <c r="E16" s="77"/>
      <c r="F16" s="77"/>
      <c r="G16" s="78"/>
      <c r="H16" s="1"/>
      <c r="I16" s="1"/>
    </row>
    <row r="17" spans="1:9" x14ac:dyDescent="0.25">
      <c r="A17" s="1"/>
      <c r="B17" s="1"/>
      <c r="C17" s="6" t="s">
        <v>102</v>
      </c>
      <c r="D17" s="76" t="s">
        <v>195</v>
      </c>
      <c r="E17" s="77"/>
      <c r="F17" s="77"/>
      <c r="G17" s="78"/>
      <c r="H17" s="1"/>
      <c r="I17" s="1"/>
    </row>
    <row r="18" spans="1:9" x14ac:dyDescent="0.25">
      <c r="A18" s="1"/>
      <c r="B18" s="1"/>
      <c r="C18" s="6" t="s">
        <v>86</v>
      </c>
      <c r="D18" s="85" t="s">
        <v>79</v>
      </c>
      <c r="E18" s="86"/>
      <c r="F18" s="86"/>
      <c r="G18" s="87"/>
      <c r="H18" s="1"/>
      <c r="I18" s="1"/>
    </row>
    <row r="19" spans="1:9" x14ac:dyDescent="0.25">
      <c r="A19" s="1"/>
      <c r="B19" s="1"/>
      <c r="C19" s="6" t="s">
        <v>87</v>
      </c>
      <c r="D19" s="85" t="s">
        <v>80</v>
      </c>
      <c r="E19" s="86"/>
      <c r="F19" s="86"/>
      <c r="G19" s="87"/>
      <c r="H19" s="1"/>
      <c r="I19" s="1"/>
    </row>
    <row r="20" spans="1:9" x14ac:dyDescent="0.25">
      <c r="A20" s="1"/>
      <c r="B20" s="1"/>
      <c r="C20" s="6" t="s">
        <v>7</v>
      </c>
      <c r="D20" s="85" t="s">
        <v>9</v>
      </c>
      <c r="E20" s="86"/>
      <c r="F20" s="86"/>
      <c r="G20" s="87"/>
      <c r="H20" s="1"/>
      <c r="I20" s="1"/>
    </row>
    <row r="21" spans="1:9" x14ac:dyDescent="0.25">
      <c r="A21" s="1"/>
      <c r="B21" s="1"/>
      <c r="C21" s="6" t="s">
        <v>88</v>
      </c>
      <c r="D21" s="91" t="s">
        <v>11</v>
      </c>
      <c r="E21" s="92"/>
      <c r="F21" s="92"/>
      <c r="G21" s="93"/>
      <c r="H21" s="1"/>
      <c r="I21" s="1"/>
    </row>
    <row r="22" spans="1:9" x14ac:dyDescent="0.25">
      <c r="A22" s="1"/>
      <c r="B22" s="1"/>
      <c r="C22" s="6" t="s">
        <v>73</v>
      </c>
      <c r="D22" s="80" t="s">
        <v>196</v>
      </c>
      <c r="E22" s="81"/>
      <c r="F22" s="81"/>
      <c r="G22" s="82"/>
      <c r="H22" s="1"/>
      <c r="I22" s="1"/>
    </row>
    <row r="23" spans="1:9" x14ac:dyDescent="0.25">
      <c r="A23" s="1"/>
      <c r="B23" s="1"/>
      <c r="C23" s="6" t="s">
        <v>8</v>
      </c>
      <c r="D23" s="80" t="s">
        <v>176</v>
      </c>
      <c r="E23" s="81"/>
      <c r="F23" s="81"/>
      <c r="G23" s="82"/>
      <c r="H23" s="1"/>
      <c r="I23" s="1"/>
    </row>
    <row r="24" spans="1:9" x14ac:dyDescent="0.25">
      <c r="A24" s="1"/>
      <c r="B24" s="1"/>
      <c r="C24" s="6" t="s">
        <v>172</v>
      </c>
      <c r="D24" s="80" t="s">
        <v>163</v>
      </c>
      <c r="E24" s="81"/>
      <c r="F24" s="81"/>
      <c r="G24" s="82"/>
      <c r="H24" s="1"/>
      <c r="I24" s="1"/>
    </row>
    <row r="25" spans="1:9" x14ac:dyDescent="0.25">
      <c r="A25" s="1"/>
      <c r="B25" s="1"/>
      <c r="C25" s="6" t="s">
        <v>173</v>
      </c>
      <c r="D25" s="80" t="s">
        <v>74</v>
      </c>
      <c r="E25" s="81"/>
      <c r="F25" s="81"/>
      <c r="G25" s="82"/>
      <c r="H25" s="1"/>
      <c r="I25" s="1"/>
    </row>
    <row r="26" spans="1:9" x14ac:dyDescent="0.25">
      <c r="A26" s="1"/>
      <c r="B26" s="1"/>
      <c r="C26" s="6" t="s">
        <v>174</v>
      </c>
      <c r="D26" s="80" t="s">
        <v>75</v>
      </c>
      <c r="E26" s="81"/>
      <c r="F26" s="81"/>
      <c r="G26" s="82"/>
      <c r="H26" s="1"/>
      <c r="I26" s="1"/>
    </row>
    <row r="27" spans="1:9" x14ac:dyDescent="0.25">
      <c r="A27" s="1"/>
      <c r="B27" s="1"/>
      <c r="C27" s="6" t="s">
        <v>89</v>
      </c>
      <c r="D27" s="80" t="s">
        <v>103</v>
      </c>
      <c r="E27" s="81"/>
      <c r="F27" s="81"/>
      <c r="G27" s="82"/>
      <c r="H27" s="1"/>
      <c r="I27" s="1"/>
    </row>
    <row r="28" spans="1:9" x14ac:dyDescent="0.25">
      <c r="A28" s="1"/>
      <c r="B28" s="1"/>
      <c r="C28" s="6" t="s">
        <v>83</v>
      </c>
      <c r="D28" s="80" t="s">
        <v>32</v>
      </c>
      <c r="E28" s="81"/>
      <c r="F28" s="81"/>
      <c r="G28" s="82"/>
      <c r="H28" s="1"/>
      <c r="I28" s="1"/>
    </row>
    <row r="29" spans="1:9" x14ac:dyDescent="0.25">
      <c r="A29" s="1"/>
      <c r="B29" s="1"/>
      <c r="C29" s="6" t="s">
        <v>175</v>
      </c>
      <c r="D29" s="88" t="s">
        <v>84</v>
      </c>
      <c r="E29" s="89"/>
      <c r="F29" s="89"/>
      <c r="G29" s="90"/>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kO6v/+7wj5BuxfxtgT4FXMYvK3uljT3J3yJaisv4I9luDVoJhaax0pWyJadCIFGyU+oExbBTAmsBPWc4C1tNg==" saltValue="iGXItYmNfDs81bSXKHSLlg==" spinCount="100000" sheet="1" objects="1" scenarios="1"/>
  <mergeCells count="20">
    <mergeCell ref="D28:G28"/>
    <mergeCell ref="D29:G29"/>
    <mergeCell ref="D21:G21"/>
    <mergeCell ref="D24:G24"/>
    <mergeCell ref="D25:G25"/>
    <mergeCell ref="D27:G27"/>
    <mergeCell ref="D26:G26"/>
    <mergeCell ref="D23:G23"/>
    <mergeCell ref="D14:G14"/>
    <mergeCell ref="D6:G7"/>
    <mergeCell ref="D22:G22"/>
    <mergeCell ref="D11:G11"/>
    <mergeCell ref="D8:G8"/>
    <mergeCell ref="D15:G15"/>
    <mergeCell ref="D16:G16"/>
    <mergeCell ref="D13:G13"/>
    <mergeCell ref="D17:G17"/>
    <mergeCell ref="D18:G18"/>
    <mergeCell ref="D19:G19"/>
    <mergeCell ref="D20:G20"/>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4" t="s">
        <v>92</v>
      </c>
      <c r="C3" s="94"/>
      <c r="D3" s="94"/>
      <c r="E3" s="1"/>
      <c r="F3" s="1"/>
    </row>
    <row r="4" spans="1:6" ht="15" customHeight="1" x14ac:dyDescent="0.25">
      <c r="A4" s="1"/>
      <c r="B4" s="94"/>
      <c r="C4" s="94"/>
      <c r="D4" s="94"/>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4" t="s">
        <v>226</v>
      </c>
      <c r="C8" s="105"/>
      <c r="D8" s="106"/>
      <c r="E8" s="1"/>
      <c r="F8" s="1"/>
    </row>
    <row r="9" spans="1:6" ht="15" customHeight="1" x14ac:dyDescent="0.25">
      <c r="A9" s="1"/>
      <c r="B9" s="32" t="s">
        <v>28</v>
      </c>
      <c r="C9" s="11" t="s">
        <v>212</v>
      </c>
      <c r="D9" s="11"/>
      <c r="E9" s="1"/>
      <c r="F9" s="1"/>
    </row>
    <row r="10" spans="1:6" ht="15" customHeight="1" x14ac:dyDescent="0.25">
      <c r="A10" s="1"/>
      <c r="B10" s="68" t="s">
        <v>245</v>
      </c>
      <c r="C10" s="9">
        <v>13508413</v>
      </c>
      <c r="D10" s="14" t="s">
        <v>3</v>
      </c>
      <c r="E10" s="1"/>
      <c r="F10" s="1"/>
    </row>
    <row r="11" spans="1:6" x14ac:dyDescent="0.25">
      <c r="A11" s="1"/>
      <c r="B11" s="68" t="s">
        <v>246</v>
      </c>
      <c r="C11" s="9">
        <v>102984</v>
      </c>
      <c r="D11" s="14" t="s">
        <v>3</v>
      </c>
      <c r="E11" s="1"/>
      <c r="F11" s="1"/>
    </row>
    <row r="12" spans="1:6" x14ac:dyDescent="0.25">
      <c r="A12" s="1"/>
      <c r="B12" s="68" t="s">
        <v>247</v>
      </c>
      <c r="C12" s="9">
        <v>58985</v>
      </c>
      <c r="D12" s="14" t="s">
        <v>3</v>
      </c>
      <c r="E12" s="1"/>
      <c r="F12" s="1"/>
    </row>
    <row r="13" spans="1:6" x14ac:dyDescent="0.25">
      <c r="A13" s="1"/>
      <c r="B13" s="68" t="s">
        <v>248</v>
      </c>
      <c r="C13" s="9">
        <v>16198</v>
      </c>
      <c r="D13" s="14" t="s">
        <v>3</v>
      </c>
      <c r="E13" s="1"/>
      <c r="F13" s="1"/>
    </row>
    <row r="14" spans="1:6" x14ac:dyDescent="0.25">
      <c r="A14" s="1"/>
      <c r="B14" s="68"/>
      <c r="C14" s="9"/>
      <c r="D14" s="14" t="s">
        <v>3</v>
      </c>
      <c r="E14" s="1"/>
      <c r="F14" s="1"/>
    </row>
    <row r="15" spans="1:6" x14ac:dyDescent="0.25">
      <c r="A15" s="1"/>
      <c r="B15" s="68"/>
      <c r="C15" s="9"/>
      <c r="D15" s="14" t="s">
        <v>3</v>
      </c>
      <c r="E15" s="1"/>
      <c r="F15" s="1"/>
    </row>
    <row r="16" spans="1:6" x14ac:dyDescent="0.25">
      <c r="A16" s="1"/>
      <c r="B16" s="68"/>
      <c r="C16" s="9"/>
      <c r="D16" s="14" t="s">
        <v>3</v>
      </c>
      <c r="E16" s="1"/>
      <c r="F16" s="1"/>
    </row>
    <row r="17" spans="1:6" x14ac:dyDescent="0.25">
      <c r="A17" s="1"/>
      <c r="B17" s="68"/>
      <c r="C17" s="9"/>
      <c r="D17" s="14" t="s">
        <v>3</v>
      </c>
      <c r="E17" s="1"/>
      <c r="F17" s="1"/>
    </row>
    <row r="18" spans="1:6" x14ac:dyDescent="0.25">
      <c r="A18" s="1"/>
      <c r="B18" s="68"/>
      <c r="C18" s="9"/>
      <c r="D18" s="14" t="s">
        <v>3</v>
      </c>
      <c r="E18" s="1"/>
      <c r="F18" s="1"/>
    </row>
    <row r="19" spans="1:6" x14ac:dyDescent="0.25">
      <c r="A19" s="1"/>
      <c r="B19" s="52" t="s">
        <v>213</v>
      </c>
      <c r="C19" s="12">
        <f>SUM(C10:C18)</f>
        <v>13686580</v>
      </c>
      <c r="D19" s="13" t="s">
        <v>3</v>
      </c>
      <c r="E19" s="1"/>
      <c r="F19" s="1"/>
    </row>
    <row r="20" spans="1:6" x14ac:dyDescent="0.25">
      <c r="A20" s="1"/>
      <c r="B20" s="52" t="s">
        <v>214</v>
      </c>
      <c r="C20" s="12">
        <f>C19*(1+'Fane 13. Nøgletal'!C16)^2</f>
        <v>15987686.0816512</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row r="56" spans="1:6" x14ac:dyDescent="0.25">
      <c r="A56" s="44"/>
      <c r="B56" s="44"/>
      <c r="C56" s="44"/>
      <c r="D56" s="44"/>
      <c r="E56" s="44"/>
      <c r="F56" s="44"/>
    </row>
  </sheetData>
  <sheetProtection algorithmName="SHA-512" hashValue="E8p5OpcCMFhh5romR20OBiRKz50up7P31Z5k3Bnf4MVgMy7VoAtS4x4/WAsFdvKBATphHPtNLPb9zkr9w+VtDQ==" saltValue="Vw6SJHNw4sLWuQtkwvSfsQ=="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9"/>
  <dimension ref="A1:G46"/>
  <sheetViews>
    <sheetView showGridLines="0" view="pageLayout" zoomScale="86" zoomScaleNormal="100" zoomScalePageLayoutView="86"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97" t="s">
        <v>227</v>
      </c>
      <c r="C3" s="97"/>
      <c r="D3" s="97"/>
      <c r="E3" s="97"/>
      <c r="F3" s="97"/>
      <c r="G3" s="1"/>
    </row>
    <row r="4" spans="1:7" ht="15" customHeight="1" x14ac:dyDescent="0.25">
      <c r="A4" s="1"/>
      <c r="B4" s="97"/>
      <c r="C4" s="97"/>
      <c r="D4" s="97"/>
      <c r="E4" s="97"/>
      <c r="F4" s="97"/>
      <c r="G4" s="1"/>
    </row>
    <row r="5" spans="1:7" ht="15" customHeight="1" x14ac:dyDescent="0.25">
      <c r="A5" s="1"/>
      <c r="B5" s="61"/>
      <c r="C5" s="61"/>
      <c r="D5" s="61"/>
      <c r="E5" s="61"/>
      <c r="F5" s="61"/>
      <c r="G5" s="1"/>
    </row>
    <row r="6" spans="1:7" ht="15" customHeight="1" x14ac:dyDescent="0.25">
      <c r="A6" s="1"/>
      <c r="B6" s="61"/>
      <c r="C6" s="61"/>
      <c r="D6" s="61"/>
      <c r="E6" s="61"/>
      <c r="F6" s="61"/>
      <c r="G6" s="1"/>
    </row>
    <row r="7" spans="1:7" x14ac:dyDescent="0.25">
      <c r="A7" s="1"/>
      <c r="B7" s="104" t="s">
        <v>249</v>
      </c>
      <c r="C7" s="105"/>
      <c r="D7" s="105"/>
      <c r="E7" s="105"/>
      <c r="F7" s="106"/>
      <c r="G7" s="1"/>
    </row>
    <row r="8" spans="1:7" x14ac:dyDescent="0.25">
      <c r="A8" s="1"/>
      <c r="B8" s="98" t="s">
        <v>250</v>
      </c>
      <c r="C8" s="99"/>
      <c r="D8" s="100"/>
      <c r="E8" s="28">
        <v>-1917198.9639646783</v>
      </c>
      <c r="F8" s="14" t="s">
        <v>3</v>
      </c>
      <c r="G8" s="1"/>
    </row>
    <row r="9" spans="1:7" x14ac:dyDescent="0.25">
      <c r="A9" s="1"/>
      <c r="B9" s="52"/>
      <c r="C9" s="53"/>
      <c r="D9" s="53"/>
      <c r="E9" s="53"/>
      <c r="F9" s="19"/>
      <c r="G9" s="1"/>
    </row>
    <row r="10" spans="1:7" ht="52.5" customHeight="1" x14ac:dyDescent="0.25">
      <c r="A10" s="1"/>
      <c r="B10" s="120" t="s">
        <v>251</v>
      </c>
      <c r="C10" s="121"/>
      <c r="D10" s="121"/>
      <c r="E10" s="121"/>
      <c r="F10" s="122"/>
      <c r="G10" s="1"/>
    </row>
    <row r="11" spans="1:7" x14ac:dyDescent="0.25">
      <c r="A11" s="1"/>
      <c r="B11" s="1"/>
      <c r="C11" s="1"/>
      <c r="D11" s="1"/>
      <c r="E11" s="1"/>
      <c r="F11" s="1"/>
      <c r="G11" s="1"/>
    </row>
    <row r="12" spans="1:7" x14ac:dyDescent="0.25">
      <c r="A12" s="1"/>
      <c r="B12" s="104" t="s">
        <v>140</v>
      </c>
      <c r="C12" s="105"/>
      <c r="D12" s="105"/>
      <c r="E12" s="105"/>
      <c r="F12" s="106"/>
      <c r="G12" s="1"/>
    </row>
    <row r="13" spans="1:7" x14ac:dyDescent="0.25">
      <c r="A13" s="1"/>
      <c r="B13" s="98" t="s">
        <v>252</v>
      </c>
      <c r="C13" s="99"/>
      <c r="D13" s="100"/>
      <c r="E13" s="9">
        <v>-828483.71599372476</v>
      </c>
      <c r="F13" s="14" t="s">
        <v>3</v>
      </c>
      <c r="G13" s="1"/>
    </row>
    <row r="14" spans="1:7" x14ac:dyDescent="0.25">
      <c r="A14" s="1"/>
      <c r="B14" s="98" t="s">
        <v>253</v>
      </c>
      <c r="C14" s="99"/>
      <c r="D14" s="100"/>
      <c r="E14" s="9">
        <v>-828483.71599372476</v>
      </c>
      <c r="F14" s="14" t="s">
        <v>3</v>
      </c>
      <c r="G14" s="1"/>
    </row>
    <row r="15" spans="1:7" x14ac:dyDescent="0.25">
      <c r="A15" s="1"/>
      <c r="B15" s="52"/>
      <c r="C15" s="53"/>
      <c r="D15" s="53"/>
      <c r="E15" s="53"/>
      <c r="F15" s="19"/>
      <c r="G15" s="1"/>
    </row>
    <row r="16" spans="1:7" ht="30" customHeight="1" x14ac:dyDescent="0.25">
      <c r="A16" s="1"/>
      <c r="B16" s="120" t="s">
        <v>254</v>
      </c>
      <c r="C16" s="121"/>
      <c r="D16" s="121"/>
      <c r="E16" s="121"/>
      <c r="F16" s="122"/>
      <c r="G16" s="1"/>
    </row>
    <row r="17" spans="1:7" x14ac:dyDescent="0.25">
      <c r="A17" s="1"/>
      <c r="B17" s="1"/>
      <c r="C17" s="1"/>
      <c r="D17" s="1"/>
      <c r="E17" s="1"/>
      <c r="F17" s="1"/>
      <c r="G17" s="1"/>
    </row>
    <row r="18" spans="1:7" x14ac:dyDescent="0.25">
      <c r="A18" s="1"/>
      <c r="B18" s="62" t="s">
        <v>255</v>
      </c>
      <c r="C18" s="63"/>
      <c r="D18" s="63"/>
      <c r="E18" s="63"/>
      <c r="F18" s="64"/>
      <c r="G18" s="1"/>
    </row>
    <row r="19" spans="1:7" x14ac:dyDescent="0.25">
      <c r="A19" s="1"/>
      <c r="B19" s="65" t="s">
        <v>256</v>
      </c>
      <c r="C19" s="66"/>
      <c r="D19" s="67"/>
      <c r="E19" s="9">
        <v>42258398.979688212</v>
      </c>
      <c r="F19" s="14" t="s">
        <v>3</v>
      </c>
      <c r="G19" s="1"/>
    </row>
    <row r="20" spans="1:7" x14ac:dyDescent="0.25">
      <c r="A20" s="1"/>
      <c r="B20" s="65" t="s">
        <v>257</v>
      </c>
      <c r="C20" s="66"/>
      <c r="D20" s="67"/>
      <c r="E20" s="9">
        <v>41714377</v>
      </c>
      <c r="F20" s="14" t="s">
        <v>3</v>
      </c>
      <c r="G20" s="1"/>
    </row>
    <row r="21" spans="1:7" x14ac:dyDescent="0.25">
      <c r="A21" s="1"/>
      <c r="B21" s="65" t="s">
        <v>29</v>
      </c>
      <c r="C21" s="66"/>
      <c r="D21" s="67"/>
      <c r="E21" s="9">
        <v>0</v>
      </c>
      <c r="F21" s="14" t="s">
        <v>3</v>
      </c>
      <c r="G21" s="1"/>
    </row>
    <row r="22" spans="1:7" x14ac:dyDescent="0.25">
      <c r="A22" s="1"/>
      <c r="B22" s="69" t="s">
        <v>258</v>
      </c>
      <c r="C22" s="70"/>
      <c r="D22" s="71"/>
      <c r="E22" s="10">
        <f>E19-(E20-E21)</f>
        <v>544021.97968821228</v>
      </c>
      <c r="F22" s="17" t="s">
        <v>3</v>
      </c>
      <c r="G22" s="1"/>
    </row>
    <row r="23" spans="1:7" x14ac:dyDescent="0.25">
      <c r="A23" s="1"/>
      <c r="B23" s="52"/>
      <c r="C23" s="53"/>
      <c r="D23" s="53"/>
      <c r="E23" s="53"/>
      <c r="F23" s="19"/>
      <c r="G23" s="1"/>
    </row>
    <row r="24" spans="1:7" x14ac:dyDescent="0.25">
      <c r="A24" s="1"/>
      <c r="B24" s="1"/>
      <c r="C24" s="1"/>
      <c r="D24" s="1"/>
      <c r="E24" s="1"/>
      <c r="F24" s="1"/>
      <c r="G24" s="1"/>
    </row>
    <row r="25" spans="1:7" x14ac:dyDescent="0.25">
      <c r="A25" s="1"/>
      <c r="B25" s="104" t="s">
        <v>259</v>
      </c>
      <c r="C25" s="105"/>
      <c r="D25" s="105"/>
      <c r="E25" s="105"/>
      <c r="F25" s="106"/>
      <c r="G25" s="1"/>
    </row>
    <row r="26" spans="1:7" x14ac:dyDescent="0.25">
      <c r="A26" s="1"/>
      <c r="B26" s="126" t="s">
        <v>260</v>
      </c>
      <c r="C26" s="127"/>
      <c r="D26" s="128"/>
      <c r="E26" s="59">
        <f>IF(AND(E14&lt;0,E22&gt;0,ABS(SUM(E13:E14))&lt;E22),ABS(E13),IF(AND(E14&lt;0,E22&gt;0,ABS(SUM(E13:E14))&gt;E22),SUM(E13,E22),0))</f>
        <v>-284461.73630551249</v>
      </c>
      <c r="F26" s="17" t="s">
        <v>3</v>
      </c>
      <c r="G26" s="1"/>
    </row>
    <row r="27" spans="1:7" x14ac:dyDescent="0.25">
      <c r="A27" s="1"/>
      <c r="B27" s="104"/>
      <c r="C27" s="105"/>
      <c r="D27" s="105"/>
      <c r="E27" s="105"/>
      <c r="F27" s="106"/>
      <c r="G27" s="1"/>
    </row>
    <row r="28" spans="1:7" x14ac:dyDescent="0.25">
      <c r="A28" s="1"/>
      <c r="B28" s="1"/>
      <c r="C28" s="1"/>
      <c r="D28" s="1"/>
      <c r="E28" s="1"/>
      <c r="F28" s="1"/>
      <c r="G28" s="1"/>
    </row>
    <row r="29" spans="1:7" x14ac:dyDescent="0.25">
      <c r="A29" s="1"/>
      <c r="B29" s="104" t="s">
        <v>261</v>
      </c>
      <c r="C29" s="105"/>
      <c r="D29" s="105"/>
      <c r="E29" s="105"/>
      <c r="F29" s="106"/>
      <c r="G29" s="1"/>
    </row>
    <row r="30" spans="1:7" x14ac:dyDescent="0.25">
      <c r="A30" s="1"/>
      <c r="B30" s="116" t="s">
        <v>117</v>
      </c>
      <c r="C30" s="117"/>
      <c r="D30" s="118"/>
      <c r="E30" s="60">
        <f>IF(AND(E8&gt;0,(E8+E22)&gt;0),0,IF(AND(E8&gt;0,(E8+E22)&lt;0),(E8+E22),IF(AND(E8&lt;0,E22&lt;0),E22,0)))</f>
        <v>0</v>
      </c>
      <c r="F30" s="14" t="s">
        <v>3</v>
      </c>
      <c r="G30" s="1"/>
    </row>
    <row r="31" spans="1:7" x14ac:dyDescent="0.25">
      <c r="A31" s="1"/>
      <c r="B31" s="116" t="s">
        <v>85</v>
      </c>
      <c r="C31" s="117"/>
      <c r="D31" s="118"/>
      <c r="E31" s="9">
        <v>2</v>
      </c>
      <c r="F31" s="14" t="s">
        <v>18</v>
      </c>
      <c r="G31" s="1"/>
    </row>
    <row r="32" spans="1:7" x14ac:dyDescent="0.25">
      <c r="A32" s="1"/>
      <c r="B32" s="119" t="s">
        <v>116</v>
      </c>
      <c r="C32" s="119"/>
      <c r="D32" s="119"/>
      <c r="E32" s="59">
        <f>E30/E31</f>
        <v>0</v>
      </c>
      <c r="F32" s="17" t="s">
        <v>3</v>
      </c>
      <c r="G32" s="1"/>
    </row>
    <row r="33" spans="1:7" x14ac:dyDescent="0.25">
      <c r="A33" s="1"/>
      <c r="B33" s="123"/>
      <c r="C33" s="124"/>
      <c r="D33" s="124"/>
      <c r="E33" s="124"/>
      <c r="F33" s="125"/>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sheetData>
  <sheetProtection algorithmName="SHA-512" hashValue="ZLyjp0Kf/JYllI0cLjUL+mv3EBOK4PcB519mb4MGjLBMa2aeh/w8wcqxSjD9iUnwDZPKQ5U5bIz5UPOscyPqAA==" saltValue="sjuw01iVmdvr45LSL4Ij0Q==" spinCount="100000" sheet="1" objects="1" scenarios="1"/>
  <mergeCells count="16">
    <mergeCell ref="B33:F33"/>
    <mergeCell ref="B14:D14"/>
    <mergeCell ref="B16:F16"/>
    <mergeCell ref="B25:F25"/>
    <mergeCell ref="B26:D26"/>
    <mergeCell ref="B27:F27"/>
    <mergeCell ref="B3:F4"/>
    <mergeCell ref="B7:F7"/>
    <mergeCell ref="B8:D8"/>
    <mergeCell ref="B10:F10"/>
    <mergeCell ref="B12:F12"/>
    <mergeCell ref="B13:D13"/>
    <mergeCell ref="B30:D30"/>
    <mergeCell ref="B31:D31"/>
    <mergeCell ref="B29:F29"/>
    <mergeCell ref="B32:D32"/>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4" t="s">
        <v>183</v>
      </c>
      <c r="C3" s="94"/>
      <c r="D3" s="94"/>
      <c r="E3" s="94"/>
      <c r="F3" s="94"/>
      <c r="G3" s="94"/>
      <c r="H3" s="94"/>
      <c r="I3" s="1"/>
    </row>
    <row r="4" spans="1:9" ht="15" customHeight="1" x14ac:dyDescent="0.25">
      <c r="A4" s="1"/>
      <c r="B4" s="94"/>
      <c r="C4" s="94"/>
      <c r="D4" s="94"/>
      <c r="E4" s="94"/>
      <c r="F4" s="94"/>
      <c r="G4" s="94"/>
      <c r="H4" s="94"/>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4" t="s">
        <v>184</v>
      </c>
      <c r="C8" s="105"/>
      <c r="D8" s="105"/>
      <c r="E8" s="105"/>
      <c r="F8" s="105"/>
      <c r="G8" s="105"/>
      <c r="H8" s="106"/>
      <c r="I8" s="1"/>
    </row>
    <row r="9" spans="1:9" ht="15" customHeight="1" x14ac:dyDescent="0.25">
      <c r="A9" s="1"/>
      <c r="B9" s="129" t="s">
        <v>234</v>
      </c>
      <c r="C9" s="130"/>
      <c r="D9" s="130"/>
      <c r="E9" s="130"/>
      <c r="F9" s="130"/>
      <c r="G9" s="130"/>
      <c r="H9" s="131"/>
      <c r="I9" s="1"/>
    </row>
    <row r="10" spans="1:9" x14ac:dyDescent="0.25">
      <c r="A10" s="1"/>
      <c r="B10" s="132" t="s">
        <v>185</v>
      </c>
      <c r="C10" s="133"/>
      <c r="D10" s="133"/>
      <c r="E10" s="133"/>
      <c r="F10" s="134"/>
      <c r="G10" s="45">
        <v>-1630339</v>
      </c>
      <c r="H10" s="9" t="s">
        <v>3</v>
      </c>
      <c r="I10" s="1"/>
    </row>
    <row r="11" spans="1:9" x14ac:dyDescent="0.25">
      <c r="A11" s="1"/>
      <c r="B11" s="132" t="s">
        <v>186</v>
      </c>
      <c r="C11" s="133"/>
      <c r="D11" s="133"/>
      <c r="E11" s="133"/>
      <c r="F11" s="134"/>
      <c r="G11" s="45">
        <v>0</v>
      </c>
      <c r="H11" s="9" t="s">
        <v>3</v>
      </c>
      <c r="I11" s="1"/>
    </row>
    <row r="12" spans="1:9" x14ac:dyDescent="0.25">
      <c r="A12" s="1"/>
      <c r="B12" s="132" t="s">
        <v>187</v>
      </c>
      <c r="C12" s="133"/>
      <c r="D12" s="133"/>
      <c r="E12" s="133"/>
      <c r="F12" s="134"/>
      <c r="G12" s="9">
        <v>0</v>
      </c>
      <c r="H12" s="9" t="s">
        <v>3</v>
      </c>
      <c r="I12" s="1"/>
    </row>
    <row r="13" spans="1:9" x14ac:dyDescent="0.25">
      <c r="A13" s="1"/>
      <c r="B13" s="132" t="s">
        <v>188</v>
      </c>
      <c r="C13" s="133"/>
      <c r="D13" s="133"/>
      <c r="E13" s="133"/>
      <c r="F13" s="134"/>
      <c r="G13" s="9">
        <v>0</v>
      </c>
      <c r="H13" s="9" t="s">
        <v>3</v>
      </c>
      <c r="I13" s="1"/>
    </row>
    <row r="14" spans="1:9" x14ac:dyDescent="0.25">
      <c r="A14" s="1"/>
      <c r="B14" s="132" t="s">
        <v>189</v>
      </c>
      <c r="C14" s="133"/>
      <c r="D14" s="133"/>
      <c r="E14" s="133"/>
      <c r="F14" s="134"/>
      <c r="G14" s="9">
        <v>0</v>
      </c>
      <c r="H14" s="9" t="s">
        <v>3</v>
      </c>
      <c r="I14" s="1"/>
    </row>
    <row r="15" spans="1:9" x14ac:dyDescent="0.25">
      <c r="A15" s="1"/>
      <c r="B15" s="132" t="s">
        <v>190</v>
      </c>
      <c r="C15" s="133"/>
      <c r="D15" s="133"/>
      <c r="E15" s="133"/>
      <c r="F15" s="134"/>
      <c r="G15" s="9">
        <v>0</v>
      </c>
      <c r="H15" s="9" t="s">
        <v>3</v>
      </c>
      <c r="I15" s="1"/>
    </row>
    <row r="16" spans="1:9" x14ac:dyDescent="0.25">
      <c r="A16" s="1"/>
      <c r="B16" s="132" t="s">
        <v>191</v>
      </c>
      <c r="C16" s="133"/>
      <c r="D16" s="133"/>
      <c r="E16" s="133"/>
      <c r="F16" s="134"/>
      <c r="G16" s="9">
        <v>0</v>
      </c>
      <c r="H16" s="9" t="s">
        <v>3</v>
      </c>
      <c r="I16" s="1"/>
    </row>
    <row r="17" spans="1:9" x14ac:dyDescent="0.25">
      <c r="A17" s="1"/>
      <c r="B17" s="132" t="s">
        <v>192</v>
      </c>
      <c r="C17" s="133"/>
      <c r="D17" s="133"/>
      <c r="E17" s="133"/>
      <c r="F17" s="134"/>
      <c r="G17" s="9">
        <v>0</v>
      </c>
      <c r="H17" s="9" t="s">
        <v>3</v>
      </c>
      <c r="I17" s="1"/>
    </row>
    <row r="18" spans="1:9" x14ac:dyDescent="0.25">
      <c r="A18" s="1"/>
      <c r="B18" s="104" t="s">
        <v>193</v>
      </c>
      <c r="C18" s="105"/>
      <c r="D18" s="105"/>
      <c r="E18" s="105"/>
      <c r="F18" s="106"/>
      <c r="G18" s="12">
        <f>SUM(G10:G17)</f>
        <v>-1630339</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6WVpHh6NKgcGVtoWY/uceh+8SIgJBDZ4JyRFJMs/VCe12SD0T9abB/i3fo+P839CBG0IN4v3UvXoI5Hj6+Bk7A==" saltValue="6gUB9Jo9ttoFcpQBYuw4bQ=="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4" t="s">
        <v>177</v>
      </c>
      <c r="C3" s="94"/>
      <c r="D3" s="94"/>
      <c r="E3" s="94"/>
      <c r="F3" s="94"/>
      <c r="G3" s="94"/>
      <c r="H3" s="94"/>
      <c r="I3" s="94"/>
      <c r="J3" s="94"/>
      <c r="K3" s="94"/>
      <c r="L3" s="1"/>
    </row>
    <row r="4" spans="1:12" ht="15" customHeight="1" x14ac:dyDescent="0.25">
      <c r="A4" s="1"/>
      <c r="B4" s="94"/>
      <c r="C4" s="94"/>
      <c r="D4" s="94"/>
      <c r="E4" s="94"/>
      <c r="F4" s="94"/>
      <c r="G4" s="94"/>
      <c r="H4" s="94"/>
      <c r="I4" s="94"/>
      <c r="J4" s="94"/>
      <c r="K4" s="9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4" t="s">
        <v>155</v>
      </c>
      <c r="C8" s="105"/>
      <c r="D8" s="105"/>
      <c r="E8" s="105"/>
      <c r="F8" s="105"/>
      <c r="G8" s="105"/>
      <c r="H8" s="105"/>
      <c r="I8" s="105"/>
      <c r="J8" s="105"/>
      <c r="K8" s="106"/>
      <c r="L8" s="1"/>
    </row>
    <row r="9" spans="1:12" ht="39.75" customHeight="1" x14ac:dyDescent="0.25">
      <c r="A9" s="1"/>
      <c r="B9" s="18" t="s">
        <v>0</v>
      </c>
      <c r="C9" s="18" t="s">
        <v>1</v>
      </c>
      <c r="D9" s="135" t="s">
        <v>170</v>
      </c>
      <c r="E9" s="136"/>
      <c r="F9" s="135" t="s">
        <v>2</v>
      </c>
      <c r="G9" s="136"/>
      <c r="H9" s="135" t="s">
        <v>171</v>
      </c>
      <c r="I9" s="136"/>
      <c r="J9" s="135" t="s">
        <v>26</v>
      </c>
      <c r="K9" s="136"/>
      <c r="L9" s="1"/>
    </row>
    <row r="10" spans="1:12" x14ac:dyDescent="0.25">
      <c r="A10" s="1"/>
      <c r="B10" s="75" t="s">
        <v>238</v>
      </c>
      <c r="C10" s="31">
        <v>0</v>
      </c>
      <c r="D10" s="9">
        <v>0</v>
      </c>
      <c r="E10" s="14" t="s">
        <v>3</v>
      </c>
      <c r="F10" s="56">
        <f>IFERROR(D10/C10,0)</f>
        <v>0</v>
      </c>
      <c r="G10" s="14" t="s">
        <v>3</v>
      </c>
      <c r="H10" s="9">
        <v>0</v>
      </c>
      <c r="I10" s="14" t="s">
        <v>3</v>
      </c>
      <c r="J10" s="9">
        <v>0</v>
      </c>
      <c r="K10" s="14" t="s">
        <v>3</v>
      </c>
      <c r="L10" s="1"/>
    </row>
    <row r="11" spans="1:12" x14ac:dyDescent="0.25">
      <c r="A11" s="1"/>
      <c r="B11" s="52" t="s">
        <v>215</v>
      </c>
      <c r="C11" s="53"/>
      <c r="D11" s="19"/>
      <c r="E11" s="64"/>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bpjg5ww0XnWLesYbgpmhCrmkLvFjf3e3xeHU+JZL/YTwVQXwUqho8MFOXUm78AmHHFfIW+zPs0MCyEcOYC0jdg==" saltValue="KnOBq/AV71MrHL3VepnzpA=="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178</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70</v>
      </c>
      <c r="C8" s="53"/>
      <c r="D8" s="53"/>
      <c r="E8" s="53"/>
      <c r="F8" s="19"/>
      <c r="G8" s="1"/>
    </row>
    <row r="9" spans="1:7" ht="17.25" customHeight="1" x14ac:dyDescent="0.25">
      <c r="A9" s="1"/>
      <c r="B9" s="73" t="s">
        <v>15</v>
      </c>
      <c r="C9" s="73" t="s">
        <v>10</v>
      </c>
      <c r="D9" s="74"/>
      <c r="E9" s="73"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243</v>
      </c>
      <c r="C11" s="21">
        <v>271877</v>
      </c>
      <c r="D11" s="14" t="s">
        <v>3</v>
      </c>
      <c r="E11" s="9">
        <v>140183</v>
      </c>
      <c r="F11" s="14" t="s">
        <v>3</v>
      </c>
      <c r="G11" s="1"/>
    </row>
    <row r="12" spans="1:7" x14ac:dyDescent="0.25">
      <c r="A12" s="1"/>
      <c r="B12" s="27"/>
      <c r="C12" s="21"/>
      <c r="D12" s="14" t="s">
        <v>3</v>
      </c>
      <c r="E12" s="9"/>
      <c r="F12" s="14" t="s">
        <v>3</v>
      </c>
      <c r="G12" s="1"/>
    </row>
    <row r="13" spans="1:7" x14ac:dyDescent="0.25">
      <c r="A13" s="1"/>
      <c r="B13" s="27"/>
      <c r="C13" s="21"/>
      <c r="D13" s="14" t="s">
        <v>3</v>
      </c>
      <c r="E13" s="9"/>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2" t="s">
        <v>151</v>
      </c>
      <c r="C17" s="12">
        <f>SUM(C10:C16)</f>
        <v>271877</v>
      </c>
      <c r="D17" s="13" t="s">
        <v>3</v>
      </c>
      <c r="E17" s="12">
        <f>SUM(E10:E16)</f>
        <v>140183</v>
      </c>
      <c r="F17" s="13" t="s">
        <v>3</v>
      </c>
      <c r="G17" s="1"/>
    </row>
    <row r="18" spans="1:7" x14ac:dyDescent="0.25">
      <c r="A18" s="1"/>
      <c r="B18" s="52" t="s">
        <v>209</v>
      </c>
      <c r="C18" s="12">
        <f>C17*(1+'Fane 13. Nøgletal'!C16)</f>
        <v>293844.66159999999</v>
      </c>
      <c r="D18" s="13" t="s">
        <v>3</v>
      </c>
      <c r="E18" s="12">
        <f>E17*(1+'Fane 13. Nøgletal'!C16)</f>
        <v>151509.78640000001</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ZElQ7jQ8DIIv6JHyRzTGv+8kC51PqYc7vl9fS4IajqgVCm3NQHa1dOaYzzVFf8GbdwhLBjrM+iHIbiv+pNUoKw==" saltValue="rVHCN5XI//EzyzeHCtCfPw=="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4" t="s">
        <v>179</v>
      </c>
      <c r="C3" s="94"/>
      <c r="D3" s="94"/>
      <c r="E3" s="94"/>
      <c r="F3" s="94"/>
      <c r="G3" s="1"/>
    </row>
    <row r="4" spans="1:7" ht="15" customHeight="1" x14ac:dyDescent="0.25">
      <c r="A4" s="1"/>
      <c r="B4" s="94"/>
      <c r="C4" s="94"/>
      <c r="D4" s="94"/>
      <c r="E4" s="94"/>
      <c r="F4" s="9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4" t="s">
        <v>217</v>
      </c>
      <c r="C9" s="105"/>
      <c r="D9" s="105"/>
      <c r="E9" s="105"/>
      <c r="F9" s="106"/>
      <c r="G9" s="1"/>
    </row>
    <row r="10" spans="1:7" ht="26.25" x14ac:dyDescent="0.25">
      <c r="A10" s="1"/>
      <c r="B10" s="73" t="s">
        <v>15</v>
      </c>
      <c r="C10" s="73" t="s">
        <v>10</v>
      </c>
      <c r="D10" s="74"/>
      <c r="E10" s="73" t="s">
        <v>27</v>
      </c>
      <c r="F10" s="30"/>
      <c r="G10" s="1"/>
    </row>
    <row r="11" spans="1:7" x14ac:dyDescent="0.25">
      <c r="A11" s="1"/>
      <c r="B11" s="23" t="s">
        <v>244</v>
      </c>
      <c r="C11" s="48"/>
      <c r="D11" s="14" t="s">
        <v>3</v>
      </c>
      <c r="E11" s="48"/>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2" t="s">
        <v>218</v>
      </c>
      <c r="C14" s="12">
        <f>SUM(C11:C13)</f>
        <v>0</v>
      </c>
      <c r="D14" s="13" t="s">
        <v>3</v>
      </c>
      <c r="E14" s="12">
        <f>SUM(E11:E13)</f>
        <v>0</v>
      </c>
      <c r="F14" s="13" t="s">
        <v>3</v>
      </c>
      <c r="G14" s="1"/>
    </row>
    <row r="15" spans="1:7" x14ac:dyDescent="0.25">
      <c r="A15" s="1"/>
      <c r="B15" s="52"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jM9YfpkPYSeYh+RmGhkkNTBVnIRGBqHRUF98LKKccOpc4nDhtxUayb41BLbQ/enx0PaCdx2H7dv3LyrXzOkI/A==" saltValue="V+sXRojaVSp8mYbgbQb/Xg=="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180</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4" t="s">
        <v>104</v>
      </c>
      <c r="C8" s="105"/>
      <c r="D8" s="105"/>
      <c r="E8" s="105"/>
      <c r="F8" s="106"/>
      <c r="G8" s="1"/>
    </row>
    <row r="9" spans="1:7" ht="15" customHeight="1" x14ac:dyDescent="0.25">
      <c r="A9" s="1"/>
      <c r="B9" s="54" t="s">
        <v>105</v>
      </c>
      <c r="C9" s="129" t="s">
        <v>10</v>
      </c>
      <c r="D9" s="131"/>
      <c r="E9" s="129" t="s">
        <v>27</v>
      </c>
      <c r="F9" s="131"/>
      <c r="G9" s="1"/>
    </row>
    <row r="10" spans="1:7" ht="26.25" x14ac:dyDescent="0.25">
      <c r="A10" s="1"/>
      <c r="B10" s="58"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RyRmnwx3P7L6hXFWzQdvVyv2Va2odxsmEt22LelF2nuZqap3hTgr7uhQRlA8y0bUIE5PExVXnIYniDUEmJLGhg==" saltValue="UoMkRdbmi/6ZPgCLQ75DAg=="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181</v>
      </c>
      <c r="C3" s="97"/>
      <c r="D3" s="97"/>
      <c r="E3" s="97"/>
      <c r="F3" s="97"/>
      <c r="G3" s="1"/>
    </row>
    <row r="4" spans="1:7" ht="25.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4" t="s">
        <v>237</v>
      </c>
      <c r="C10" s="105"/>
      <c r="D10" s="105"/>
      <c r="E10" s="105"/>
      <c r="F10" s="106"/>
      <c r="G10" s="1"/>
    </row>
    <row r="11" spans="1:7" ht="26.25" x14ac:dyDescent="0.25">
      <c r="A11" s="1"/>
      <c r="B11" s="54" t="s">
        <v>16</v>
      </c>
      <c r="C11" s="54" t="s">
        <v>10</v>
      </c>
      <c r="D11" s="30"/>
      <c r="E11" s="54" t="s">
        <v>27</v>
      </c>
      <c r="F11" s="30"/>
      <c r="G11" s="1"/>
    </row>
    <row r="12" spans="1:7" x14ac:dyDescent="0.25">
      <c r="A12" s="1"/>
      <c r="B12" s="58" t="s">
        <v>242</v>
      </c>
      <c r="C12" s="9">
        <v>0</v>
      </c>
      <c r="D12" s="14" t="s">
        <v>3</v>
      </c>
      <c r="E12" s="9">
        <v>0</v>
      </c>
      <c r="F12" s="14" t="s">
        <v>3</v>
      </c>
      <c r="G12" s="1"/>
    </row>
    <row r="13" spans="1:7" x14ac:dyDescent="0.25">
      <c r="A13" s="1"/>
      <c r="B13" s="52" t="s">
        <v>78</v>
      </c>
      <c r="C13" s="12">
        <f>SUM(C12:C12)</f>
        <v>0</v>
      </c>
      <c r="D13" s="13" t="s">
        <v>3</v>
      </c>
      <c r="E13" s="12">
        <f>SUM(E12:E12)</f>
        <v>0</v>
      </c>
      <c r="F13" s="13" t="s">
        <v>3</v>
      </c>
      <c r="G13" s="1"/>
    </row>
    <row r="14" spans="1:7" x14ac:dyDescent="0.25">
      <c r="A14" s="1"/>
      <c r="B14" s="52"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w37dhhH3Dsip4ub1TvqYuYiPcvgFdRHcr+KGOTsIuMrupeXrbZNte0pY+041KvbUwjXJnZjU85ww8KSKyLV8aw==" saltValue="JCdR6+ZNevO7UolAfquhkA=="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97" t="s">
        <v>182</v>
      </c>
      <c r="C3" s="97"/>
      <c r="D3" s="1"/>
    </row>
    <row r="4" spans="1:4" ht="25.5" customHeight="1" x14ac:dyDescent="0.25">
      <c r="A4" s="1"/>
      <c r="B4" s="97"/>
      <c r="C4" s="97"/>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2" t="s">
        <v>13</v>
      </c>
      <c r="C8" s="39"/>
      <c r="D8" s="1"/>
    </row>
    <row r="9" spans="1:4" x14ac:dyDescent="0.25">
      <c r="A9" s="1"/>
      <c r="B9" s="68" t="s">
        <v>93</v>
      </c>
      <c r="C9" s="40">
        <v>1.2699999999999999E-2</v>
      </c>
      <c r="D9" s="1"/>
    </row>
    <row r="10" spans="1:4" x14ac:dyDescent="0.25">
      <c r="A10" s="1"/>
      <c r="B10" s="68" t="s">
        <v>21</v>
      </c>
      <c r="C10" s="40">
        <v>1.7500000000000002E-2</v>
      </c>
      <c r="D10" s="1"/>
    </row>
    <row r="11" spans="1:4" x14ac:dyDescent="0.25">
      <c r="A11" s="1"/>
      <c r="B11" s="68"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4"/>
      <c r="C17" s="106"/>
      <c r="D17" s="1"/>
    </row>
    <row r="18" spans="1:4" x14ac:dyDescent="0.25">
      <c r="A18" s="1"/>
      <c r="B18" s="1"/>
      <c r="C18" s="38"/>
      <c r="D18" s="1"/>
    </row>
    <row r="19" spans="1:4" x14ac:dyDescent="0.25">
      <c r="A19" s="1"/>
      <c r="B19" s="1"/>
      <c r="C19" s="38"/>
      <c r="D19" s="1"/>
    </row>
    <row r="20" spans="1:4" x14ac:dyDescent="0.25">
      <c r="A20" s="1"/>
      <c r="B20" s="52" t="s">
        <v>81</v>
      </c>
      <c r="C20" s="39"/>
      <c r="D20" s="1"/>
    </row>
    <row r="21" spans="1:4" x14ac:dyDescent="0.25">
      <c r="A21" s="1"/>
      <c r="B21" s="68" t="s">
        <v>95</v>
      </c>
      <c r="C21" s="42">
        <v>9.1000000000000004E-3</v>
      </c>
      <c r="D21" s="1"/>
    </row>
    <row r="22" spans="1:4" x14ac:dyDescent="0.25">
      <c r="A22" s="1"/>
      <c r="B22" s="68" t="s">
        <v>96</v>
      </c>
      <c r="C22" s="42">
        <v>1.77E-2</v>
      </c>
      <c r="D22" s="1"/>
    </row>
    <row r="23" spans="1:4" x14ac:dyDescent="0.25">
      <c r="A23" s="1"/>
      <c r="B23" s="68" t="s">
        <v>97</v>
      </c>
      <c r="C23" s="42">
        <v>8.6999999999999994E-3</v>
      </c>
      <c r="D23" s="1"/>
    </row>
    <row r="24" spans="1:4" x14ac:dyDescent="0.25">
      <c r="A24" s="1"/>
      <c r="B24" s="68" t="s">
        <v>98</v>
      </c>
      <c r="C24" s="42">
        <v>2.8400000000000002E-2</v>
      </c>
      <c r="D24" s="1"/>
    </row>
    <row r="25" spans="1:4" x14ac:dyDescent="0.25">
      <c r="A25" s="1"/>
      <c r="B25" s="68" t="s">
        <v>111</v>
      </c>
      <c r="C25" s="42">
        <v>2.75E-2</v>
      </c>
      <c r="D25" s="1"/>
    </row>
    <row r="26" spans="1:4" x14ac:dyDescent="0.25">
      <c r="A26" s="1"/>
      <c r="B26" s="68"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2"/>
      <c r="C29" s="39"/>
      <c r="D29" s="1"/>
    </row>
    <row r="30" spans="1:4" x14ac:dyDescent="0.25">
      <c r="A30" s="1"/>
      <c r="B30" s="1"/>
      <c r="C30" s="38"/>
      <c r="D30" s="1"/>
    </row>
    <row r="31" spans="1:4" x14ac:dyDescent="0.25">
      <c r="A31" s="1"/>
      <c r="B31" s="1"/>
      <c r="C31" s="38"/>
      <c r="D31" s="1"/>
    </row>
    <row r="32" spans="1:4" x14ac:dyDescent="0.25">
      <c r="A32" s="1"/>
      <c r="B32" s="52" t="s">
        <v>82</v>
      </c>
      <c r="C32" s="39"/>
      <c r="D32" s="1"/>
    </row>
    <row r="33" spans="1:4" x14ac:dyDescent="0.25">
      <c r="A33" s="1"/>
      <c r="B33" s="68" t="s">
        <v>99</v>
      </c>
      <c r="C33" s="40">
        <v>0.02</v>
      </c>
      <c r="D33" s="1"/>
    </row>
    <row r="34" spans="1:4" x14ac:dyDescent="0.25">
      <c r="A34" s="1"/>
      <c r="B34" s="52"/>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DsjSETV1sggcwVeAHD4axYazCa4bij4gGUGxlfxSkpFA6FFXW91m0YwFXBDm/uy4AgV6SzPTK+x2aeITggoVhw==" saltValue="hmsax22704lpTC8B5MyT3g=="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198</v>
      </c>
      <c r="C3" s="94"/>
      <c r="D3" s="94"/>
      <c r="E3" s="1"/>
    </row>
    <row r="4" spans="1:5" ht="15" customHeight="1" x14ac:dyDescent="0.25">
      <c r="A4" s="1"/>
      <c r="B4" s="94"/>
      <c r="C4" s="94"/>
      <c r="D4" s="94"/>
      <c r="E4" s="1"/>
    </row>
    <row r="5" spans="1:5" x14ac:dyDescent="0.25">
      <c r="A5" s="1"/>
      <c r="B5" s="1"/>
      <c r="C5" s="1"/>
      <c r="D5" s="1"/>
      <c r="E5" s="1"/>
    </row>
    <row r="6" spans="1:5" x14ac:dyDescent="0.25">
      <c r="A6" s="1"/>
      <c r="B6" s="1"/>
      <c r="C6" s="1"/>
      <c r="D6" s="1"/>
      <c r="E6" s="1"/>
    </row>
    <row r="7" spans="1:5" x14ac:dyDescent="0.25">
      <c r="A7" s="1"/>
      <c r="B7" s="52" t="s">
        <v>12</v>
      </c>
      <c r="C7" s="53"/>
      <c r="D7" s="19"/>
      <c r="E7" s="1"/>
    </row>
    <row r="8" spans="1:5" x14ac:dyDescent="0.25">
      <c r="A8" s="1"/>
      <c r="B8" s="55" t="s">
        <v>109</v>
      </c>
      <c r="C8" s="7">
        <f>'Fane 3. Omkostninger i ØR2023'!C19</f>
        <v>28962224.457282629</v>
      </c>
      <c r="D8" s="8" t="s">
        <v>3</v>
      </c>
      <c r="E8" s="1"/>
    </row>
    <row r="9" spans="1:5" ht="17.100000000000001" customHeight="1" x14ac:dyDescent="0.25">
      <c r="A9" s="1"/>
      <c r="B9" s="24" t="s">
        <v>33</v>
      </c>
      <c r="C9" s="7">
        <f>'Fane 10.1. Varige tillæg'!C18</f>
        <v>293844.66159999999</v>
      </c>
      <c r="D9" s="8" t="s">
        <v>3</v>
      </c>
      <c r="E9" s="1"/>
    </row>
    <row r="10" spans="1:5" ht="17.100000000000001" customHeight="1" x14ac:dyDescent="0.25">
      <c r="A10" s="1"/>
      <c r="B10" s="24" t="s">
        <v>34</v>
      </c>
      <c r="C10" s="9">
        <f>'Fane 10.1. Varige tillæg'!E18</f>
        <v>151509.78640000001</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1067039.8300776617</v>
      </c>
      <c r="D15" s="8" t="s">
        <v>3</v>
      </c>
      <c r="E15" s="1"/>
    </row>
    <row r="16" spans="1:5" ht="17.100000000000001" customHeight="1" x14ac:dyDescent="0.25">
      <c r="A16" s="1"/>
      <c r="B16" s="24" t="s">
        <v>9</v>
      </c>
      <c r="C16" s="9">
        <f>-SUM(C8,C9:C15)*'Fane 5. Individuelt eff. krav'!G9</f>
        <v>0</v>
      </c>
      <c r="D16" s="8" t="s">
        <v>3</v>
      </c>
      <c r="E16" s="1"/>
    </row>
    <row r="17" spans="1:5" ht="17.100000000000001" customHeight="1" x14ac:dyDescent="0.25">
      <c r="A17" s="1"/>
      <c r="B17" s="24" t="s">
        <v>22</v>
      </c>
      <c r="C17" s="9">
        <f>-'Fane 4.1. Gen. krav - drift'!G49</f>
        <v>-315445.46229436679</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69" t="s">
        <v>19</v>
      </c>
      <c r="C19" s="10">
        <f>SUM(C8:C18)</f>
        <v>30159173.273065928</v>
      </c>
      <c r="D19" s="11" t="s">
        <v>3</v>
      </c>
      <c r="E19" s="1"/>
    </row>
    <row r="20" spans="1:5" ht="15" customHeight="1" x14ac:dyDescent="0.25">
      <c r="A20" s="1"/>
      <c r="B20" s="52" t="s">
        <v>11</v>
      </c>
      <c r="C20" s="53"/>
      <c r="D20" s="19"/>
      <c r="E20" s="1"/>
    </row>
    <row r="21" spans="1:5" ht="15" customHeight="1" x14ac:dyDescent="0.25">
      <c r="A21" s="1"/>
      <c r="B21" s="54" t="s">
        <v>11</v>
      </c>
      <c r="C21" s="10">
        <f>'Fane 6. Ikke-påvirkelige omk.'!C20</f>
        <v>15987686.0816512</v>
      </c>
      <c r="D21" s="11" t="s">
        <v>3</v>
      </c>
      <c r="E21" s="1"/>
    </row>
    <row r="22" spans="1:5" ht="15" customHeight="1" x14ac:dyDescent="0.25">
      <c r="A22" s="1"/>
      <c r="B22" s="52" t="s">
        <v>75</v>
      </c>
      <c r="C22" s="53"/>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69" t="s">
        <v>76</v>
      </c>
      <c r="C27" s="10">
        <f>SUM(C23:C26)</f>
        <v>0</v>
      </c>
      <c r="D27" s="11" t="s">
        <v>3</v>
      </c>
      <c r="E27" s="1"/>
    </row>
    <row r="28" spans="1:5" ht="15" customHeight="1" x14ac:dyDescent="0.25">
      <c r="A28" s="1"/>
      <c r="B28" s="26" t="s">
        <v>117</v>
      </c>
      <c r="C28" s="53"/>
      <c r="D28" s="19"/>
      <c r="E28" s="1"/>
    </row>
    <row r="29" spans="1:5" x14ac:dyDescent="0.25">
      <c r="A29" s="1"/>
      <c r="B29" s="72" t="s">
        <v>118</v>
      </c>
      <c r="C29" s="10">
        <f>'Fane 7. Kontrol af ØR2022'!E26</f>
        <v>-284461.73630551249</v>
      </c>
      <c r="D29" s="11" t="s">
        <v>3</v>
      </c>
      <c r="E29" s="1"/>
    </row>
    <row r="30" spans="1:5" x14ac:dyDescent="0.25">
      <c r="A30" s="1"/>
      <c r="B30" s="26" t="s">
        <v>138</v>
      </c>
      <c r="C30" s="53"/>
      <c r="D30" s="19"/>
      <c r="E30" s="1"/>
    </row>
    <row r="31" spans="1:5" x14ac:dyDescent="0.25">
      <c r="A31" s="1"/>
      <c r="B31" s="72" t="s">
        <v>139</v>
      </c>
      <c r="C31" s="10">
        <f>'Fane 8. Skattesagen'!G13</f>
        <v>0</v>
      </c>
      <c r="D31" s="11" t="s">
        <v>3</v>
      </c>
      <c r="E31" s="1"/>
    </row>
    <row r="32" spans="1:5" x14ac:dyDescent="0.25">
      <c r="A32" s="1"/>
      <c r="B32" s="26" t="s">
        <v>262</v>
      </c>
      <c r="C32" s="53"/>
      <c r="D32" s="19"/>
      <c r="E32" s="1"/>
    </row>
    <row r="33" spans="1:5" x14ac:dyDescent="0.25">
      <c r="A33" s="1"/>
      <c r="B33" s="72" t="s">
        <v>263</v>
      </c>
      <c r="C33" s="10">
        <v>506634.40968494175</v>
      </c>
      <c r="D33" s="11" t="s">
        <v>3</v>
      </c>
      <c r="E33" s="1"/>
    </row>
    <row r="34" spans="1:5" x14ac:dyDescent="0.25">
      <c r="A34" s="1"/>
      <c r="B34" s="52" t="s">
        <v>126</v>
      </c>
      <c r="C34" s="33">
        <f>SUM(C19,C21,C27,C29,C31,C33)</f>
        <v>46369032.028096557</v>
      </c>
      <c r="D34" s="19" t="s">
        <v>3</v>
      </c>
      <c r="E34" s="1"/>
    </row>
    <row r="35" spans="1:5" x14ac:dyDescent="0.25">
      <c r="A35" s="1"/>
      <c r="B35" s="1" t="s">
        <v>168</v>
      </c>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2iGEWmuKGiTpE/HFGYyzg1mmALG30ZAxI90sagNAdKYSWkIheW4lFJcoytLGLb4GN3XIW/gU5ib5IjESsUKN5Q==" saltValue="iwY70Tzwxsoo0cPhh3BNoQ=="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199</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2" t="s">
        <v>12</v>
      </c>
      <c r="C7" s="53"/>
      <c r="D7" s="19"/>
      <c r="E7" s="1"/>
    </row>
    <row r="8" spans="1:5" ht="15" customHeight="1" x14ac:dyDescent="0.25">
      <c r="A8" s="1"/>
      <c r="B8" s="55" t="s">
        <v>127</v>
      </c>
      <c r="C8" s="7">
        <f>'Fane 2.1. Økonomisk ramme 2024'!C19</f>
        <v>30159173.273065928</v>
      </c>
      <c r="D8" s="8" t="s">
        <v>3</v>
      </c>
      <c r="E8" s="1"/>
    </row>
    <row r="9" spans="1:5" ht="15" customHeight="1" x14ac:dyDescent="0.25">
      <c r="A9" s="1"/>
      <c r="B9" s="29" t="s">
        <v>17</v>
      </c>
      <c r="C9" s="9">
        <f>SUM(C8:C8)*'Fane 13. Nøgletal'!C16</f>
        <v>2436861.2004637271</v>
      </c>
      <c r="D9" s="8" t="s">
        <v>3</v>
      </c>
      <c r="E9" s="1"/>
    </row>
    <row r="10" spans="1:5" ht="15" customHeight="1" x14ac:dyDescent="0.25">
      <c r="A10" s="1"/>
      <c r="B10" s="29" t="s">
        <v>9</v>
      </c>
      <c r="C10" s="9">
        <f>-SUM(C8:C9)*'Fane 5. Individuelt eff. krav'!G9</f>
        <v>0</v>
      </c>
      <c r="D10" s="8" t="s">
        <v>3</v>
      </c>
      <c r="E10" s="1"/>
    </row>
    <row r="11" spans="1:5" ht="15" customHeight="1" x14ac:dyDescent="0.25">
      <c r="A11" s="1"/>
      <c r="B11" s="29" t="s">
        <v>22</v>
      </c>
      <c r="C11" s="9">
        <f>-'Fane 4.1. Gen. krav - drift'!G54</f>
        <v>-334114.78653479664</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32261919.686994858</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f>
        <v>17279491.117048617</v>
      </c>
      <c r="D15" s="11" t="s">
        <v>3</v>
      </c>
      <c r="E15" s="1"/>
    </row>
    <row r="16" spans="1:5" x14ac:dyDescent="0.25">
      <c r="A16" s="1"/>
      <c r="B16" s="26" t="s">
        <v>117</v>
      </c>
      <c r="C16" s="53"/>
      <c r="D16" s="19"/>
      <c r="E16" s="1"/>
    </row>
    <row r="17" spans="1:5" ht="15" customHeight="1" x14ac:dyDescent="0.25">
      <c r="A17" s="1"/>
      <c r="B17" s="72" t="s">
        <v>118</v>
      </c>
      <c r="C17" s="10">
        <f>'Fane 7. Kontrol af ØR2022'!E32</f>
        <v>0</v>
      </c>
      <c r="D17" s="11" t="s">
        <v>3</v>
      </c>
      <c r="E17" s="1"/>
    </row>
    <row r="18" spans="1:5" x14ac:dyDescent="0.25">
      <c r="A18" s="1"/>
      <c r="B18" s="26" t="s">
        <v>138</v>
      </c>
      <c r="C18" s="53"/>
      <c r="D18" s="19"/>
      <c r="E18" s="1"/>
    </row>
    <row r="19" spans="1:5" x14ac:dyDescent="0.25">
      <c r="A19" s="1"/>
      <c r="B19" s="72" t="s">
        <v>139</v>
      </c>
      <c r="C19" s="10">
        <f>'Fane 8. Skattesagen'!G13</f>
        <v>0</v>
      </c>
      <c r="D19" s="11" t="s">
        <v>3</v>
      </c>
      <c r="E19" s="1"/>
    </row>
    <row r="20" spans="1:5" x14ac:dyDescent="0.25">
      <c r="A20" s="1"/>
      <c r="B20" s="52" t="s">
        <v>128</v>
      </c>
      <c r="C20" s="12">
        <f>SUM(C13,C15,C17,C19)</f>
        <v>49541410.804043472</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3uaGFUIW9tgkgtSnwHZ7+VunNAhfZ5DS8ACXSSQn9vPeudiaO0InnU1KJVs6vufAdygMVivmx13TvOHcwcGSNg==" saltValue="0OsYcajrUY7nc1dRU/eK6w=="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200</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2" t="s">
        <v>12</v>
      </c>
      <c r="C7" s="53"/>
      <c r="D7" s="19"/>
      <c r="E7" s="1"/>
    </row>
    <row r="8" spans="1:5" ht="15" customHeight="1" x14ac:dyDescent="0.25">
      <c r="A8" s="1"/>
      <c r="B8" s="55" t="s">
        <v>142</v>
      </c>
      <c r="C8" s="7">
        <f>'Fane 2.2. Økonomisk ramme 2025'!C13</f>
        <v>32261919.686994858</v>
      </c>
      <c r="D8" s="8" t="s">
        <v>3</v>
      </c>
      <c r="E8" s="1"/>
    </row>
    <row r="9" spans="1:5" ht="15" customHeight="1" x14ac:dyDescent="0.25">
      <c r="A9" s="1"/>
      <c r="B9" s="29" t="s">
        <v>17</v>
      </c>
      <c r="C9" s="9">
        <f>SUM(C8:C8)*'Fane 13. Nøgletal'!C16</f>
        <v>2606763.1107091843</v>
      </c>
      <c r="D9" s="8" t="s">
        <v>3</v>
      </c>
      <c r="E9" s="1"/>
    </row>
    <row r="10" spans="1:5" ht="15" customHeight="1" x14ac:dyDescent="0.25">
      <c r="A10" s="1"/>
      <c r="B10" s="29" t="s">
        <v>9</v>
      </c>
      <c r="C10" s="9">
        <f>-SUM(C8:C9)*'Fane 5. Individuelt eff. krav'!G9</f>
        <v>0</v>
      </c>
      <c r="D10" s="8" t="s">
        <v>3</v>
      </c>
      <c r="E10" s="1"/>
    </row>
    <row r="11" spans="1:5" ht="15" customHeight="1" x14ac:dyDescent="0.25">
      <c r="A11" s="1"/>
      <c r="B11" s="29" t="s">
        <v>22</v>
      </c>
      <c r="C11" s="9">
        <f>-'Fane 4.1. Gen. krav - drift'!G59</f>
        <v>-353889.03606107197</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34514793.76164297</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Nøgletal'!C16)^2</f>
        <v>18675673.999306142</v>
      </c>
      <c r="D15" s="11" t="s">
        <v>3</v>
      </c>
      <c r="E15" s="1"/>
    </row>
    <row r="16" spans="1:5" x14ac:dyDescent="0.25">
      <c r="A16" s="1"/>
      <c r="B16" s="52" t="s">
        <v>117</v>
      </c>
      <c r="C16" s="53"/>
      <c r="D16" s="19"/>
      <c r="E16" s="1"/>
    </row>
    <row r="17" spans="1:5" x14ac:dyDescent="0.25">
      <c r="A17" s="1"/>
      <c r="B17" s="54" t="s">
        <v>118</v>
      </c>
      <c r="C17" s="10">
        <f>'Fane 7. Kontrol af ØR2022'!E32</f>
        <v>0</v>
      </c>
      <c r="D17" s="11" t="s">
        <v>3</v>
      </c>
      <c r="E17" s="1"/>
    </row>
    <row r="18" spans="1:5" ht="15" customHeight="1" x14ac:dyDescent="0.25">
      <c r="A18" s="1"/>
      <c r="B18" s="26" t="s">
        <v>138</v>
      </c>
      <c r="C18" s="53"/>
      <c r="D18" s="19"/>
      <c r="E18" s="1"/>
    </row>
    <row r="19" spans="1:5" ht="15" customHeight="1" x14ac:dyDescent="0.25">
      <c r="A19" s="1"/>
      <c r="B19" s="72" t="s">
        <v>139</v>
      </c>
      <c r="C19" s="10">
        <f>'Fane 8. Skattesagen'!G14</f>
        <v>0</v>
      </c>
      <c r="D19" s="11" t="s">
        <v>3</v>
      </c>
      <c r="E19" s="1"/>
    </row>
    <row r="20" spans="1:5" x14ac:dyDescent="0.25">
      <c r="A20" s="1"/>
      <c r="B20" s="52" t="s">
        <v>143</v>
      </c>
      <c r="C20" s="12">
        <f>SUM(C13,C15,C17,C19)</f>
        <v>53190467.760949112</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OGSeHY1QWzsoYfaiy/axcwG2945a8m/uASeGPymL2sDgPMIO58LpGdrObhwRXzymcBZT6ZsTbSF1uFFAD7qjhg==" saltValue="IPghcnLY3G58OwOs5yQI8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4" t="s">
        <v>204</v>
      </c>
      <c r="C3" s="94"/>
      <c r="D3" s="94"/>
      <c r="E3" s="1"/>
    </row>
    <row r="4" spans="1:5" ht="15" customHeight="1" x14ac:dyDescent="0.25">
      <c r="A4" s="1"/>
      <c r="B4" s="94"/>
      <c r="C4" s="94"/>
      <c r="D4" s="94"/>
      <c r="E4" s="1"/>
    </row>
    <row r="5" spans="1:5" x14ac:dyDescent="0.25">
      <c r="A5" s="1"/>
      <c r="B5" s="95" t="s">
        <v>20</v>
      </c>
      <c r="C5" s="95"/>
      <c r="D5" s="95"/>
      <c r="E5" s="1"/>
    </row>
    <row r="6" spans="1:5" x14ac:dyDescent="0.25">
      <c r="A6" s="1"/>
      <c r="B6" s="1"/>
      <c r="C6" s="1"/>
      <c r="D6" s="1"/>
      <c r="E6" s="1"/>
    </row>
    <row r="7" spans="1:5" x14ac:dyDescent="0.25">
      <c r="A7" s="1"/>
      <c r="B7" s="52" t="s">
        <v>12</v>
      </c>
      <c r="C7" s="53"/>
      <c r="D7" s="19"/>
      <c r="E7" s="1"/>
    </row>
    <row r="8" spans="1:5" ht="15" customHeight="1" x14ac:dyDescent="0.25">
      <c r="A8" s="1"/>
      <c r="B8" s="55" t="s">
        <v>203</v>
      </c>
      <c r="C8" s="7">
        <f>'Fane 2.3. Økonomisk ramme 2026'!C13</f>
        <v>34514793.76164297</v>
      </c>
      <c r="D8" s="8" t="s">
        <v>3</v>
      </c>
      <c r="E8" s="1"/>
    </row>
    <row r="9" spans="1:5" ht="15" customHeight="1" x14ac:dyDescent="0.25">
      <c r="A9" s="1"/>
      <c r="B9" s="29" t="s">
        <v>17</v>
      </c>
      <c r="C9" s="9">
        <f>SUM(C8:C8)*'Fane 13. Nøgletal'!C16</f>
        <v>2788795.3359407517</v>
      </c>
      <c r="D9" s="8" t="s">
        <v>3</v>
      </c>
      <c r="E9" s="1"/>
    </row>
    <row r="10" spans="1:5" ht="15" customHeight="1" x14ac:dyDescent="0.25">
      <c r="A10" s="1"/>
      <c r="B10" s="29" t="s">
        <v>9</v>
      </c>
      <c r="C10" s="9">
        <f>-SUM(C8:C9)*'Fane 5. Individuelt eff. krav'!G9</f>
        <v>0</v>
      </c>
      <c r="D10" s="8" t="s">
        <v>3</v>
      </c>
      <c r="E10" s="1"/>
    </row>
    <row r="11" spans="1:5" ht="15" customHeight="1" x14ac:dyDescent="0.25">
      <c r="A11" s="1"/>
      <c r="B11" s="29" t="s">
        <v>22</v>
      </c>
      <c r="C11" s="9">
        <f>-'Fane 4.1. Gen. krav - drift'!G64</f>
        <v>-374833.60477131046</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36928755.49281241</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Nøgletal'!C16)^3</f>
        <v>20184668.458450079</v>
      </c>
      <c r="D15" s="11" t="s">
        <v>3</v>
      </c>
      <c r="E15" s="1"/>
    </row>
    <row r="16" spans="1:5" x14ac:dyDescent="0.25">
      <c r="A16" s="1"/>
      <c r="B16" s="52" t="s">
        <v>117</v>
      </c>
      <c r="C16" s="53"/>
      <c r="D16" s="19"/>
      <c r="E16" s="1"/>
    </row>
    <row r="17" spans="1:5" x14ac:dyDescent="0.25">
      <c r="A17" s="1"/>
      <c r="B17" s="54" t="s">
        <v>118</v>
      </c>
      <c r="C17" s="10">
        <v>0</v>
      </c>
      <c r="D17" s="11" t="s">
        <v>3</v>
      </c>
      <c r="E17" s="1"/>
    </row>
    <row r="18" spans="1:5" x14ac:dyDescent="0.25">
      <c r="A18" s="1"/>
      <c r="B18" s="26" t="s">
        <v>138</v>
      </c>
      <c r="C18" s="53"/>
      <c r="D18" s="19"/>
      <c r="E18" s="1"/>
    </row>
    <row r="19" spans="1:5" x14ac:dyDescent="0.25">
      <c r="A19" s="1"/>
      <c r="B19" s="72" t="s">
        <v>139</v>
      </c>
      <c r="C19" s="10">
        <f>'Fane 8. Skattesagen'!G15</f>
        <v>0</v>
      </c>
      <c r="D19" s="11" t="s">
        <v>3</v>
      </c>
      <c r="E19" s="1"/>
    </row>
    <row r="20" spans="1:5" x14ac:dyDescent="0.25">
      <c r="A20" s="1"/>
      <c r="B20" s="52" t="s">
        <v>205</v>
      </c>
      <c r="C20" s="12">
        <f>SUM(C13,C15,C17,C19)</f>
        <v>57113423.951262489</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wRdbVkL/ve+ovohSRgGdOpVrD0sEoz59JHrwfndBXvOF85Q41OFQbZ5beuQ4iuNNNCfC83ljy8D7uJEIEa1OFQ==" saltValue="/OIOMYnaEHPon/7Ndqo/J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97" t="s">
        <v>201</v>
      </c>
      <c r="C3" s="97"/>
      <c r="D3" s="97"/>
      <c r="E3" s="1"/>
    </row>
    <row r="4" spans="1:5"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2" t="s">
        <v>202</v>
      </c>
      <c r="C7" s="53"/>
      <c r="D7" s="19"/>
      <c r="E7" s="1"/>
    </row>
    <row r="8" spans="1:5" x14ac:dyDescent="0.25">
      <c r="A8" s="1"/>
      <c r="B8" s="55" t="s">
        <v>108</v>
      </c>
      <c r="C8" s="7">
        <v>28141885.375517044</v>
      </c>
      <c r="D8" s="8" t="s">
        <v>3</v>
      </c>
      <c r="E8" s="1"/>
    </row>
    <row r="9" spans="1:5" x14ac:dyDescent="0.25">
      <c r="A9" s="1"/>
      <c r="B9" s="24" t="s">
        <v>33</v>
      </c>
      <c r="C9" s="7">
        <v>62624.803200000002</v>
      </c>
      <c r="D9" s="8" t="s">
        <v>3</v>
      </c>
      <c r="E9" s="1"/>
    </row>
    <row r="10" spans="1:5" x14ac:dyDescent="0.25">
      <c r="A10" s="1"/>
      <c r="B10" s="24" t="s">
        <v>34</v>
      </c>
      <c r="C10" s="9">
        <v>56192.691600000006</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1006081.0221832867</v>
      </c>
      <c r="D15" s="8" t="s">
        <v>3</v>
      </c>
      <c r="E15" s="1"/>
    </row>
    <row r="16" spans="1:5" x14ac:dyDescent="0.25">
      <c r="A16" s="1"/>
      <c r="B16" s="24" t="s">
        <v>9</v>
      </c>
      <c r="C16" s="9">
        <v>0</v>
      </c>
      <c r="D16" s="8" t="s">
        <v>3</v>
      </c>
      <c r="E16" s="1"/>
    </row>
    <row r="17" spans="1:5" x14ac:dyDescent="0.25">
      <c r="A17" s="1"/>
      <c r="B17" s="24" t="s">
        <v>22</v>
      </c>
      <c r="C17" s="9">
        <v>-304559.43521770008</v>
      </c>
      <c r="D17" s="8" t="s">
        <v>3</v>
      </c>
      <c r="E17" s="1"/>
    </row>
    <row r="18" spans="1:5" x14ac:dyDescent="0.25">
      <c r="A18" s="1"/>
      <c r="B18" s="24" t="s">
        <v>23</v>
      </c>
      <c r="C18" s="9">
        <v>0</v>
      </c>
      <c r="D18" s="8" t="s">
        <v>3</v>
      </c>
      <c r="E18" s="1"/>
    </row>
    <row r="19" spans="1:5" x14ac:dyDescent="0.25">
      <c r="A19" s="1"/>
      <c r="B19" s="69" t="s">
        <v>19</v>
      </c>
      <c r="C19" s="10">
        <v>28962224.457282629</v>
      </c>
      <c r="D19" s="11" t="s">
        <v>3</v>
      </c>
      <c r="E19" s="1"/>
    </row>
    <row r="20" spans="1:5" x14ac:dyDescent="0.25">
      <c r="A20" s="1"/>
      <c r="B20" s="52" t="s">
        <v>11</v>
      </c>
      <c r="C20" s="53"/>
      <c r="D20" s="19"/>
      <c r="E20" s="1"/>
    </row>
    <row r="21" spans="1:5" x14ac:dyDescent="0.25">
      <c r="A21" s="1"/>
      <c r="B21" s="54" t="s">
        <v>11</v>
      </c>
      <c r="C21" s="10">
        <v>15671339.671902727</v>
      </c>
      <c r="D21" s="11" t="s">
        <v>3</v>
      </c>
      <c r="E21" s="1"/>
    </row>
    <row r="22" spans="1:5" x14ac:dyDescent="0.25">
      <c r="A22" s="1"/>
      <c r="B22" s="52" t="s">
        <v>75</v>
      </c>
      <c r="C22" s="53"/>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69" t="s">
        <v>76</v>
      </c>
      <c r="C27" s="57">
        <v>0</v>
      </c>
      <c r="D27" s="11" t="s">
        <v>3</v>
      </c>
      <c r="E27" s="1"/>
    </row>
    <row r="28" spans="1:5" x14ac:dyDescent="0.25">
      <c r="A28" s="1"/>
      <c r="B28" s="26" t="s">
        <v>117</v>
      </c>
      <c r="C28" s="53"/>
      <c r="D28" s="19"/>
      <c r="E28" s="1"/>
    </row>
    <row r="29" spans="1:5" x14ac:dyDescent="0.25">
      <c r="A29" s="1"/>
      <c r="B29" s="72" t="s">
        <v>118</v>
      </c>
      <c r="C29" s="10">
        <v>-828483.71599372476</v>
      </c>
      <c r="D29" s="11" t="s">
        <v>3</v>
      </c>
      <c r="E29" s="1"/>
    </row>
    <row r="30" spans="1:5" x14ac:dyDescent="0.25">
      <c r="A30" s="1"/>
      <c r="B30" s="26" t="s">
        <v>138</v>
      </c>
      <c r="C30" s="53"/>
      <c r="D30" s="19"/>
      <c r="E30" s="1"/>
    </row>
    <row r="31" spans="1:5" x14ac:dyDescent="0.25">
      <c r="A31" s="1"/>
      <c r="B31" s="72" t="s">
        <v>139</v>
      </c>
      <c r="C31" s="10">
        <v>0</v>
      </c>
      <c r="D31" s="11" t="s">
        <v>3</v>
      </c>
      <c r="E31" s="1"/>
    </row>
    <row r="32" spans="1:5" x14ac:dyDescent="0.25">
      <c r="A32" s="1"/>
      <c r="B32" s="52" t="s">
        <v>239</v>
      </c>
      <c r="C32" s="33">
        <v>43805080.413191631</v>
      </c>
      <c r="D32" s="19" t="s">
        <v>3</v>
      </c>
      <c r="E32" s="1"/>
    </row>
    <row r="33" spans="1:5" ht="30" customHeight="1" x14ac:dyDescent="0.25">
      <c r="A33" s="1"/>
      <c r="B33" s="96" t="s">
        <v>240</v>
      </c>
      <c r="C33" s="96"/>
      <c r="D33" s="96"/>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6oljrfs0JjsGdZkG6zlkI9Lot+KfAF0RXS8lq1oJdCxHnKWBerB5HelIDdgyGv6LK/wJE4+or+n9BPgni/zXg==" saltValue="yx2z6aPvBLZZLor7CjuSWA=="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97" t="s">
        <v>90</v>
      </c>
      <c r="C1" s="97"/>
      <c r="D1" s="97"/>
      <c r="E1" s="97"/>
      <c r="F1" s="97"/>
      <c r="G1" s="97"/>
      <c r="H1" s="97"/>
      <c r="I1" s="1"/>
    </row>
    <row r="2" spans="1:9" ht="15" customHeight="1" x14ac:dyDescent="0.25">
      <c r="A2" s="1"/>
      <c r="B2" s="97"/>
      <c r="C2" s="97"/>
      <c r="D2" s="97"/>
      <c r="E2" s="97"/>
      <c r="F2" s="97"/>
      <c r="G2" s="97"/>
      <c r="H2" s="97"/>
      <c r="I2" s="1"/>
    </row>
    <row r="3" spans="1:9" ht="15" customHeight="1" x14ac:dyDescent="0.25">
      <c r="A3" s="1"/>
      <c r="B3" s="97"/>
      <c r="C3" s="97"/>
      <c r="D3" s="97"/>
      <c r="E3" s="97"/>
      <c r="F3" s="97"/>
      <c r="G3" s="97"/>
      <c r="H3" s="97"/>
      <c r="I3" s="1"/>
    </row>
    <row r="4" spans="1:9" x14ac:dyDescent="0.25">
      <c r="A4" s="1"/>
      <c r="B4" s="104" t="s">
        <v>44</v>
      </c>
      <c r="C4" s="105"/>
      <c r="D4" s="105"/>
      <c r="E4" s="105"/>
      <c r="F4" s="105"/>
      <c r="G4" s="105"/>
      <c r="H4" s="106"/>
      <c r="I4" s="1"/>
    </row>
    <row r="5" spans="1:9" x14ac:dyDescent="0.25">
      <c r="A5" s="1"/>
      <c r="B5" s="98" t="s">
        <v>36</v>
      </c>
      <c r="C5" s="99"/>
      <c r="D5" s="99"/>
      <c r="E5" s="99"/>
      <c r="F5" s="100"/>
      <c r="G5" s="47">
        <v>14941645.85155252</v>
      </c>
      <c r="H5" s="14" t="s">
        <v>3</v>
      </c>
      <c r="I5" s="1"/>
    </row>
    <row r="6" spans="1:9" x14ac:dyDescent="0.25">
      <c r="A6" s="1"/>
      <c r="B6" s="98" t="s">
        <v>37</v>
      </c>
      <c r="C6" s="99"/>
      <c r="D6" s="99"/>
      <c r="E6" s="99"/>
      <c r="F6" s="100"/>
      <c r="G6" s="22">
        <f>G5*'Fane 13. Nøgletal'!C33</f>
        <v>298832.91703105043</v>
      </c>
      <c r="H6" s="14" t="s">
        <v>3</v>
      </c>
      <c r="I6" s="1"/>
    </row>
    <row r="7" spans="1:9" x14ac:dyDescent="0.25">
      <c r="A7" s="1"/>
      <c r="B7" s="52"/>
      <c r="C7" s="53"/>
      <c r="D7" s="53"/>
      <c r="E7" s="53"/>
      <c r="F7" s="53"/>
      <c r="G7" s="35"/>
      <c r="H7" s="19"/>
      <c r="I7" s="1"/>
    </row>
    <row r="8" spans="1:9" x14ac:dyDescent="0.25">
      <c r="A8" s="1"/>
      <c r="B8" s="1"/>
      <c r="C8" s="1"/>
      <c r="D8" s="1"/>
      <c r="E8" s="1"/>
      <c r="F8" s="1"/>
      <c r="G8" s="36"/>
      <c r="H8" s="1"/>
      <c r="I8" s="1"/>
    </row>
    <row r="9" spans="1:9" x14ac:dyDescent="0.25">
      <c r="A9" s="1"/>
      <c r="B9" s="104" t="s">
        <v>45</v>
      </c>
      <c r="C9" s="105"/>
      <c r="D9" s="105"/>
      <c r="E9" s="105"/>
      <c r="F9" s="105"/>
      <c r="G9" s="105"/>
      <c r="H9" s="106"/>
      <c r="I9" s="1"/>
    </row>
    <row r="10" spans="1:9" x14ac:dyDescent="0.25">
      <c r="A10" s="1"/>
      <c r="B10" s="98" t="s">
        <v>38</v>
      </c>
      <c r="C10" s="99"/>
      <c r="D10" s="99"/>
      <c r="E10" s="99"/>
      <c r="F10" s="100"/>
      <c r="G10" s="22">
        <f>(G5-G6)*(1+'Fane 13. Nøgletal'!C9)</f>
        <v>14828776.658789892</v>
      </c>
      <c r="H10" s="14" t="s">
        <v>3</v>
      </c>
      <c r="I10" s="1"/>
    </row>
    <row r="11" spans="1:9" x14ac:dyDescent="0.25">
      <c r="A11" s="1"/>
      <c r="B11" s="101" t="s">
        <v>228</v>
      </c>
      <c r="C11" s="102"/>
      <c r="D11" s="102"/>
      <c r="E11" s="102"/>
      <c r="F11" s="103"/>
      <c r="G11" s="47">
        <v>0</v>
      </c>
      <c r="H11" s="14" t="s">
        <v>3</v>
      </c>
      <c r="I11" s="1"/>
    </row>
    <row r="12" spans="1:9" x14ac:dyDescent="0.25">
      <c r="A12" s="1"/>
      <c r="B12" s="98" t="s">
        <v>39</v>
      </c>
      <c r="C12" s="99"/>
      <c r="D12" s="99"/>
      <c r="E12" s="99"/>
      <c r="F12" s="100"/>
      <c r="G12" s="22">
        <f>(G10+G11)*'Fane 13. Nøgletal'!C33</f>
        <v>296575.53317579784</v>
      </c>
      <c r="H12" s="14" t="s">
        <v>3</v>
      </c>
      <c r="I12" s="1"/>
    </row>
    <row r="13" spans="1:9" x14ac:dyDescent="0.25">
      <c r="A13" s="1"/>
      <c r="B13" s="52"/>
      <c r="C13" s="53"/>
      <c r="D13" s="53"/>
      <c r="E13" s="53"/>
      <c r="F13" s="53"/>
      <c r="G13" s="35"/>
      <c r="H13" s="19"/>
      <c r="I13" s="1"/>
    </row>
    <row r="14" spans="1:9" x14ac:dyDescent="0.25">
      <c r="A14" s="1"/>
      <c r="B14" s="1"/>
      <c r="C14" s="1"/>
      <c r="D14" s="1"/>
      <c r="E14" s="1"/>
      <c r="F14" s="1"/>
      <c r="G14" s="36"/>
      <c r="H14" s="1"/>
      <c r="I14" s="1"/>
    </row>
    <row r="15" spans="1:9" x14ac:dyDescent="0.25">
      <c r="A15" s="1"/>
      <c r="B15" s="104" t="s">
        <v>46</v>
      </c>
      <c r="C15" s="105"/>
      <c r="D15" s="105"/>
      <c r="E15" s="105"/>
      <c r="F15" s="105"/>
      <c r="G15" s="105"/>
      <c r="H15" s="106"/>
      <c r="I15" s="1"/>
    </row>
    <row r="16" spans="1:9" x14ac:dyDescent="0.25">
      <c r="A16" s="1"/>
      <c r="B16" s="98" t="s">
        <v>40</v>
      </c>
      <c r="C16" s="99"/>
      <c r="D16" s="99"/>
      <c r="E16" s="99"/>
      <c r="F16" s="100"/>
      <c r="G16" s="22">
        <f>(G10+G11-G12)*(1+'Fane 13. Nøgletal'!C11)</f>
        <v>14777795.32463697</v>
      </c>
      <c r="H16" s="14" t="s">
        <v>3</v>
      </c>
      <c r="I16" s="1"/>
    </row>
    <row r="17" spans="1:9" x14ac:dyDescent="0.25">
      <c r="A17" s="1"/>
      <c r="B17" s="98" t="s">
        <v>100</v>
      </c>
      <c r="C17" s="99"/>
      <c r="D17" s="99"/>
      <c r="E17" s="99"/>
      <c r="F17" s="100"/>
      <c r="G17" s="47">
        <v>-175024.21826345427</v>
      </c>
      <c r="H17" s="14" t="s">
        <v>3</v>
      </c>
      <c r="I17" s="1"/>
    </row>
    <row r="18" spans="1:9" x14ac:dyDescent="0.25">
      <c r="A18" s="1"/>
      <c r="B18" s="101" t="s">
        <v>229</v>
      </c>
      <c r="C18" s="102"/>
      <c r="D18" s="102"/>
      <c r="E18" s="102"/>
      <c r="F18" s="103"/>
      <c r="G18" s="47">
        <v>281487.40981248993</v>
      </c>
      <c r="H18" s="14" t="s">
        <v>3</v>
      </c>
      <c r="I18" s="1"/>
    </row>
    <row r="19" spans="1:9" x14ac:dyDescent="0.25">
      <c r="A19" s="1"/>
      <c r="B19" s="98" t="s">
        <v>41</v>
      </c>
      <c r="C19" s="99"/>
      <c r="D19" s="99"/>
      <c r="E19" s="99"/>
      <c r="F19" s="100"/>
      <c r="G19" s="22">
        <f>SUM(G16:G18)*'Fane 13. Nøgletal'!C33</f>
        <v>297685.17032372009</v>
      </c>
      <c r="H19" s="14" t="s">
        <v>3</v>
      </c>
      <c r="I19" s="1"/>
    </row>
    <row r="20" spans="1:9" x14ac:dyDescent="0.25">
      <c r="A20" s="1"/>
      <c r="B20" s="52"/>
      <c r="C20" s="53"/>
      <c r="D20" s="53"/>
      <c r="E20" s="53"/>
      <c r="F20" s="53"/>
      <c r="G20" s="35"/>
      <c r="H20" s="19"/>
      <c r="I20" s="1"/>
    </row>
    <row r="21" spans="1:9" x14ac:dyDescent="0.25">
      <c r="A21" s="1"/>
      <c r="B21" s="1"/>
      <c r="C21" s="1"/>
      <c r="D21" s="1"/>
      <c r="E21" s="1"/>
      <c r="F21" s="1"/>
      <c r="G21" s="36"/>
      <c r="H21" s="1"/>
      <c r="I21" s="1"/>
    </row>
    <row r="22" spans="1:9" x14ac:dyDescent="0.25">
      <c r="A22" s="1"/>
      <c r="B22" s="104" t="s">
        <v>47</v>
      </c>
      <c r="C22" s="105"/>
      <c r="D22" s="105"/>
      <c r="E22" s="105"/>
      <c r="F22" s="105"/>
      <c r="G22" s="105"/>
      <c r="H22" s="106"/>
      <c r="I22" s="1"/>
    </row>
    <row r="23" spans="1:9" x14ac:dyDescent="0.25">
      <c r="A23" s="1"/>
      <c r="B23" s="98" t="s">
        <v>42</v>
      </c>
      <c r="C23" s="99"/>
      <c r="D23" s="99"/>
      <c r="E23" s="99"/>
      <c r="F23" s="100"/>
      <c r="G23" s="22">
        <f>(SUM(G16:G18)-G19)*(1+'Fane 13. Nøgletal'!C11)</f>
        <v>14833086.435407355</v>
      </c>
      <c r="H23" s="14" t="s">
        <v>3</v>
      </c>
      <c r="I23" s="1"/>
    </row>
    <row r="24" spans="1:9" x14ac:dyDescent="0.25">
      <c r="A24" s="1"/>
      <c r="B24" s="101" t="s">
        <v>230</v>
      </c>
      <c r="C24" s="102"/>
      <c r="D24" s="102"/>
      <c r="E24" s="102"/>
      <c r="F24" s="103"/>
      <c r="G24" s="47">
        <v>-225386.97220148455</v>
      </c>
      <c r="H24" s="14" t="s">
        <v>3</v>
      </c>
      <c r="I24" s="1"/>
    </row>
    <row r="25" spans="1:9" x14ac:dyDescent="0.25">
      <c r="A25" s="1"/>
      <c r="B25" s="98" t="s">
        <v>43</v>
      </c>
      <c r="C25" s="99"/>
      <c r="D25" s="99"/>
      <c r="E25" s="99"/>
      <c r="F25" s="100"/>
      <c r="G25" s="22">
        <f>(G23+G24)*'Fane 13. Nøgletal'!C33</f>
        <v>292153.98926411744</v>
      </c>
      <c r="H25" s="14" t="s">
        <v>3</v>
      </c>
      <c r="I25" s="1"/>
    </row>
    <row r="26" spans="1:9" x14ac:dyDescent="0.25">
      <c r="A26" s="1"/>
      <c r="B26" s="52"/>
      <c r="C26" s="53"/>
      <c r="D26" s="53"/>
      <c r="E26" s="53"/>
      <c r="F26" s="53"/>
      <c r="G26" s="35"/>
      <c r="H26" s="19"/>
      <c r="I26" s="1"/>
    </row>
    <row r="27" spans="1:9" x14ac:dyDescent="0.25">
      <c r="A27" s="1"/>
      <c r="B27" s="1"/>
      <c r="C27" s="1"/>
      <c r="D27" s="1"/>
      <c r="E27" s="1"/>
      <c r="F27" s="1"/>
      <c r="G27" s="36"/>
      <c r="H27" s="1"/>
      <c r="I27" s="1"/>
    </row>
    <row r="28" spans="1:9" x14ac:dyDescent="0.25">
      <c r="A28" s="1"/>
      <c r="B28" s="104" t="s">
        <v>121</v>
      </c>
      <c r="C28" s="105"/>
      <c r="D28" s="105"/>
      <c r="E28" s="105"/>
      <c r="F28" s="105"/>
      <c r="G28" s="105"/>
      <c r="H28" s="106"/>
      <c r="I28" s="1"/>
    </row>
    <row r="29" spans="1:9" x14ac:dyDescent="0.25">
      <c r="A29" s="1"/>
      <c r="B29" s="98" t="s">
        <v>50</v>
      </c>
      <c r="C29" s="99"/>
      <c r="D29" s="99"/>
      <c r="E29" s="99"/>
      <c r="F29" s="100"/>
      <c r="G29" s="22">
        <f>(G23+G24-G25)*(1+'Fane 13. Nøgletal'!C13)</f>
        <v>14490195.128723841</v>
      </c>
      <c r="H29" s="14" t="s">
        <v>3</v>
      </c>
      <c r="I29" s="1"/>
    </row>
    <row r="30" spans="1:9" x14ac:dyDescent="0.25">
      <c r="A30" s="1"/>
      <c r="B30" s="98" t="s">
        <v>231</v>
      </c>
      <c r="C30" s="99"/>
      <c r="D30" s="99"/>
      <c r="E30" s="99"/>
      <c r="F30" s="100"/>
      <c r="G30" s="47">
        <v>563243.67569231999</v>
      </c>
      <c r="H30" s="14" t="s">
        <v>3</v>
      </c>
      <c r="I30" s="1"/>
    </row>
    <row r="31" spans="1:9" x14ac:dyDescent="0.25">
      <c r="A31" s="1"/>
      <c r="B31" s="98" t="s">
        <v>115</v>
      </c>
      <c r="C31" s="99"/>
      <c r="D31" s="99"/>
      <c r="E31" s="99"/>
      <c r="F31" s="100"/>
      <c r="G31" s="22">
        <f>(G29+G30)*'Fane 13. Nøgletal'!C33</f>
        <v>301068.77608832321</v>
      </c>
      <c r="H31" s="14" t="s">
        <v>3</v>
      </c>
      <c r="I31" s="1"/>
    </row>
    <row r="32" spans="1:9" x14ac:dyDescent="0.25">
      <c r="A32" s="1"/>
      <c r="B32" s="52"/>
      <c r="C32" s="53"/>
      <c r="D32" s="53"/>
      <c r="E32" s="53"/>
      <c r="F32" s="53"/>
      <c r="G32" s="35"/>
      <c r="H32" s="19"/>
      <c r="I32" s="1"/>
    </row>
    <row r="33" spans="1:9" x14ac:dyDescent="0.25">
      <c r="A33" s="1"/>
      <c r="B33" s="1"/>
      <c r="C33" s="1"/>
      <c r="D33" s="1"/>
      <c r="E33" s="1"/>
      <c r="F33" s="1"/>
      <c r="G33" s="36"/>
      <c r="H33" s="1"/>
      <c r="I33" s="1"/>
    </row>
    <row r="34" spans="1:9" x14ac:dyDescent="0.25">
      <c r="A34" s="1"/>
      <c r="B34" s="104" t="s">
        <v>122</v>
      </c>
      <c r="C34" s="105"/>
      <c r="D34" s="105"/>
      <c r="E34" s="105"/>
      <c r="F34" s="105"/>
      <c r="G34" s="105"/>
      <c r="H34" s="106"/>
      <c r="I34" s="1"/>
    </row>
    <row r="35" spans="1:9" x14ac:dyDescent="0.25">
      <c r="A35" s="1"/>
      <c r="B35" s="98" t="s">
        <v>69</v>
      </c>
      <c r="C35" s="99"/>
      <c r="D35" s="99"/>
      <c r="E35" s="99"/>
      <c r="F35" s="100"/>
      <c r="G35" s="22">
        <f>(G29+G30-G31)*(1+'Fane 13. Nøgletal'!C13)</f>
        <v>14932348.942673437</v>
      </c>
      <c r="H35" s="14" t="s">
        <v>3</v>
      </c>
      <c r="I35" s="1"/>
    </row>
    <row r="36" spans="1:9" x14ac:dyDescent="0.25">
      <c r="A36" s="1"/>
      <c r="B36" s="98" t="s">
        <v>232</v>
      </c>
      <c r="C36" s="99"/>
      <c r="D36" s="99"/>
      <c r="E36" s="99"/>
      <c r="F36" s="100"/>
      <c r="G36" s="47">
        <v>8331.7183365300025</v>
      </c>
      <c r="H36" s="14" t="s">
        <v>3</v>
      </c>
      <c r="I36" s="1"/>
    </row>
    <row r="37" spans="1:9" x14ac:dyDescent="0.25">
      <c r="A37" s="1"/>
      <c r="B37" s="98" t="s">
        <v>123</v>
      </c>
      <c r="C37" s="99"/>
      <c r="D37" s="99"/>
      <c r="E37" s="99"/>
      <c r="F37" s="100"/>
      <c r="G37" s="22">
        <f>(G35+G36)*'Fane 13. Nøgletal'!C33</f>
        <v>298813.61322019936</v>
      </c>
      <c r="H37" s="14" t="s">
        <v>3</v>
      </c>
      <c r="I37" s="1"/>
    </row>
    <row r="38" spans="1:9" x14ac:dyDescent="0.25">
      <c r="A38" s="1"/>
      <c r="B38" s="52"/>
      <c r="C38" s="53"/>
      <c r="D38" s="53"/>
      <c r="E38" s="53"/>
      <c r="F38" s="53"/>
      <c r="G38" s="35"/>
      <c r="H38" s="19"/>
      <c r="I38" s="1"/>
    </row>
    <row r="39" spans="1:9" x14ac:dyDescent="0.25">
      <c r="A39" s="1"/>
      <c r="B39" s="1"/>
      <c r="C39" s="1"/>
      <c r="D39" s="1"/>
      <c r="E39" s="1"/>
      <c r="F39" s="1"/>
      <c r="G39" s="36"/>
      <c r="H39" s="1"/>
      <c r="I39" s="1"/>
    </row>
    <row r="40" spans="1:9" x14ac:dyDescent="0.25">
      <c r="A40" s="1"/>
      <c r="B40" s="104" t="s">
        <v>157</v>
      </c>
      <c r="C40" s="105"/>
      <c r="D40" s="105"/>
      <c r="E40" s="105"/>
      <c r="F40" s="105"/>
      <c r="G40" s="105"/>
      <c r="H40" s="106"/>
      <c r="I40" s="1"/>
    </row>
    <row r="41" spans="1:9" x14ac:dyDescent="0.25">
      <c r="A41" s="1"/>
      <c r="B41" s="98" t="s">
        <v>68</v>
      </c>
      <c r="C41" s="99"/>
      <c r="D41" s="99"/>
      <c r="E41" s="99"/>
      <c r="F41" s="100"/>
      <c r="G41" s="22">
        <f>(G35+G36-G37)*(1+'Fane 13. Nøgletal'!C15)</f>
        <v>15163117.514691085</v>
      </c>
      <c r="H41" s="14" t="s">
        <v>3</v>
      </c>
      <c r="I41" s="1"/>
    </row>
    <row r="42" spans="1:9" x14ac:dyDescent="0.25">
      <c r="A42" s="1"/>
      <c r="B42" s="98" t="s">
        <v>156</v>
      </c>
      <c r="C42" s="99"/>
      <c r="D42" s="99"/>
      <c r="E42" s="99"/>
      <c r="F42" s="100"/>
      <c r="G42" s="22">
        <v>64854.246193920007</v>
      </c>
      <c r="H42" s="14" t="s">
        <v>3</v>
      </c>
      <c r="I42" s="1"/>
    </row>
    <row r="43" spans="1:9" x14ac:dyDescent="0.25">
      <c r="A43" s="1"/>
      <c r="B43" s="98" t="s">
        <v>166</v>
      </c>
      <c r="C43" s="99"/>
      <c r="D43" s="99"/>
      <c r="E43" s="99"/>
      <c r="F43" s="100"/>
      <c r="G43" s="22">
        <f>(G41+G42)*'Fane 13. Nøgletal'!C33</f>
        <v>304559.43521770008</v>
      </c>
      <c r="H43" s="14" t="s">
        <v>3</v>
      </c>
      <c r="I43" s="1"/>
    </row>
    <row r="44" spans="1:9" x14ac:dyDescent="0.25">
      <c r="A44" s="1"/>
      <c r="B44" s="52"/>
      <c r="C44" s="53"/>
      <c r="D44" s="53"/>
      <c r="E44" s="53"/>
      <c r="F44" s="53"/>
      <c r="G44" s="35"/>
      <c r="H44" s="19"/>
      <c r="I44" s="1"/>
    </row>
    <row r="45" spans="1:9" x14ac:dyDescent="0.25">
      <c r="A45" s="1"/>
      <c r="B45" s="1"/>
      <c r="C45" s="1"/>
      <c r="D45" s="1"/>
      <c r="E45" s="1"/>
      <c r="F45" s="1"/>
      <c r="G45" s="36"/>
      <c r="H45" s="1"/>
      <c r="I45" s="1"/>
    </row>
    <row r="46" spans="1:9" x14ac:dyDescent="0.25">
      <c r="A46" s="1"/>
      <c r="B46" s="104" t="s">
        <v>158</v>
      </c>
      <c r="C46" s="105"/>
      <c r="D46" s="105"/>
      <c r="E46" s="105"/>
      <c r="F46" s="105"/>
      <c r="G46" s="105"/>
      <c r="H46" s="106"/>
      <c r="I46" s="1"/>
    </row>
    <row r="47" spans="1:9" x14ac:dyDescent="0.25">
      <c r="A47" s="1"/>
      <c r="B47" s="98" t="s">
        <v>112</v>
      </c>
      <c r="C47" s="99"/>
      <c r="D47" s="99"/>
      <c r="E47" s="99"/>
      <c r="F47" s="100"/>
      <c r="G47" s="22">
        <f>(G41+G42-G43)*(1+'Fane 13. Nøgletal'!C15)</f>
        <v>15454685.80446106</v>
      </c>
      <c r="H47" s="14" t="s">
        <v>3</v>
      </c>
      <c r="I47" s="1"/>
    </row>
    <row r="48" spans="1:9" x14ac:dyDescent="0.25">
      <c r="A48" s="1"/>
      <c r="B48" s="98" t="s">
        <v>206</v>
      </c>
      <c r="C48" s="99"/>
      <c r="D48" s="99"/>
      <c r="E48" s="99"/>
      <c r="F48" s="100"/>
      <c r="G48" s="22">
        <f>('Fane 2.1. Økonomisk ramme 2024'!C9+'Fane 2.1. Økonomisk ramme 2024'!C11+'Fane 2.1. Økonomisk ramme 2024'!C13)*(1+'Fane 13. Nøgletal'!C16)</f>
        <v>317587.31025728001</v>
      </c>
      <c r="H48" s="14" t="s">
        <v>3</v>
      </c>
      <c r="I48" s="1"/>
    </row>
    <row r="49" spans="1:9" x14ac:dyDescent="0.25">
      <c r="A49" s="1"/>
      <c r="B49" s="98" t="s">
        <v>167</v>
      </c>
      <c r="C49" s="99"/>
      <c r="D49" s="99"/>
      <c r="E49" s="99"/>
      <c r="F49" s="100"/>
      <c r="G49" s="22">
        <f>G47*'Fane 13. Nøgletal'!C33+G48*'Fane 13. Nøgletal'!C33</f>
        <v>315445.46229436679</v>
      </c>
      <c r="H49" s="14" t="s">
        <v>3</v>
      </c>
      <c r="I49" s="1"/>
    </row>
    <row r="50" spans="1:9" x14ac:dyDescent="0.25">
      <c r="A50" s="1"/>
      <c r="B50" s="52"/>
      <c r="C50" s="53"/>
      <c r="D50" s="53"/>
      <c r="E50" s="53"/>
      <c r="F50" s="53"/>
      <c r="G50" s="35"/>
      <c r="H50" s="19"/>
      <c r="I50" s="1"/>
    </row>
    <row r="51" spans="1:9" x14ac:dyDescent="0.25">
      <c r="A51" s="1"/>
      <c r="B51" s="1"/>
      <c r="C51" s="1"/>
      <c r="D51" s="1"/>
      <c r="E51" s="1"/>
      <c r="F51" s="1"/>
      <c r="G51" s="36"/>
      <c r="H51" s="1"/>
      <c r="I51" s="1"/>
    </row>
    <row r="52" spans="1:9" x14ac:dyDescent="0.25">
      <c r="A52" s="1"/>
      <c r="B52" s="104" t="s">
        <v>133</v>
      </c>
      <c r="C52" s="105"/>
      <c r="D52" s="105"/>
      <c r="E52" s="105"/>
      <c r="F52" s="105"/>
      <c r="G52" s="105"/>
      <c r="H52" s="106"/>
      <c r="I52" s="1"/>
    </row>
    <row r="53" spans="1:9" x14ac:dyDescent="0.25">
      <c r="A53" s="1"/>
      <c r="B53" s="98" t="s">
        <v>134</v>
      </c>
      <c r="C53" s="99"/>
      <c r="D53" s="99"/>
      <c r="E53" s="99"/>
      <c r="F53" s="100"/>
      <c r="G53" s="22">
        <f>(G47+G48-G49)*(1+'Fane 13. Nøgletal'!C16)</f>
        <v>16705739.326739831</v>
      </c>
      <c r="H53" s="14" t="s">
        <v>3</v>
      </c>
      <c r="I53" s="1"/>
    </row>
    <row r="54" spans="1:9" x14ac:dyDescent="0.25">
      <c r="A54" s="1"/>
      <c r="B54" s="98" t="s">
        <v>135</v>
      </c>
      <c r="C54" s="99"/>
      <c r="D54" s="99"/>
      <c r="E54" s="99"/>
      <c r="F54" s="100"/>
      <c r="G54" s="22">
        <f>(G53)*'Fane 13. Nøgletal'!C33</f>
        <v>334114.78653479664</v>
      </c>
      <c r="H54" s="14" t="s">
        <v>3</v>
      </c>
      <c r="I54" s="1"/>
    </row>
    <row r="55" spans="1:9" x14ac:dyDescent="0.25">
      <c r="A55" s="1"/>
      <c r="B55" s="52"/>
      <c r="C55" s="53"/>
      <c r="D55" s="53"/>
      <c r="E55" s="53"/>
      <c r="F55" s="53"/>
      <c r="G55" s="35"/>
      <c r="H55" s="19"/>
      <c r="I55" s="1"/>
    </row>
    <row r="56" spans="1:9" x14ac:dyDescent="0.25">
      <c r="A56" s="1"/>
      <c r="B56" s="1"/>
      <c r="C56" s="1"/>
      <c r="D56" s="1"/>
      <c r="E56" s="1"/>
      <c r="F56" s="1"/>
      <c r="G56" s="36"/>
      <c r="H56" s="1"/>
      <c r="I56" s="1"/>
    </row>
    <row r="57" spans="1:9" x14ac:dyDescent="0.25">
      <c r="A57" s="1"/>
      <c r="B57" s="104" t="s">
        <v>144</v>
      </c>
      <c r="C57" s="105"/>
      <c r="D57" s="105"/>
      <c r="E57" s="105"/>
      <c r="F57" s="105"/>
      <c r="G57" s="105"/>
      <c r="H57" s="106"/>
      <c r="I57" s="1"/>
    </row>
    <row r="58" spans="1:9" x14ac:dyDescent="0.25">
      <c r="A58" s="1"/>
      <c r="B58" s="98" t="s">
        <v>145</v>
      </c>
      <c r="C58" s="99"/>
      <c r="D58" s="99"/>
      <c r="E58" s="99"/>
      <c r="F58" s="100"/>
      <c r="G58" s="22">
        <f>(G53-G54)*(1+'Fane 13. Nøgletal'!C16)</f>
        <v>17694451.803053599</v>
      </c>
      <c r="H58" s="14" t="s">
        <v>3</v>
      </c>
      <c r="I58" s="1"/>
    </row>
    <row r="59" spans="1:9" x14ac:dyDescent="0.25">
      <c r="A59" s="1"/>
      <c r="B59" s="98" t="s">
        <v>146</v>
      </c>
      <c r="C59" s="99"/>
      <c r="D59" s="99"/>
      <c r="E59" s="99"/>
      <c r="F59" s="100"/>
      <c r="G59" s="22">
        <f>(G58)*'Fane 13. Nøgletal'!C33</f>
        <v>353889.03606107197</v>
      </c>
      <c r="H59" s="14" t="s">
        <v>3</v>
      </c>
      <c r="I59" s="1"/>
    </row>
    <row r="60" spans="1:9" x14ac:dyDescent="0.25">
      <c r="A60" s="1"/>
      <c r="B60" s="52"/>
      <c r="C60" s="53"/>
      <c r="D60" s="53"/>
      <c r="E60" s="53"/>
      <c r="F60" s="53"/>
      <c r="G60" s="35"/>
      <c r="H60" s="19"/>
      <c r="I60" s="1"/>
    </row>
    <row r="61" spans="1:9" x14ac:dyDescent="0.25">
      <c r="A61" s="1"/>
      <c r="B61" s="1"/>
      <c r="C61" s="1"/>
      <c r="D61" s="1"/>
      <c r="E61" s="1"/>
      <c r="F61" s="1"/>
      <c r="G61" s="36"/>
      <c r="H61" s="1"/>
      <c r="I61" s="1"/>
    </row>
    <row r="62" spans="1:9" x14ac:dyDescent="0.25">
      <c r="A62" s="1"/>
      <c r="B62" s="104" t="s">
        <v>220</v>
      </c>
      <c r="C62" s="105"/>
      <c r="D62" s="105"/>
      <c r="E62" s="105"/>
      <c r="F62" s="105"/>
      <c r="G62" s="105"/>
      <c r="H62" s="106"/>
      <c r="I62" s="1"/>
    </row>
    <row r="63" spans="1:9" x14ac:dyDescent="0.25">
      <c r="A63" s="1"/>
      <c r="B63" s="98" t="s">
        <v>221</v>
      </c>
      <c r="C63" s="99"/>
      <c r="D63" s="99"/>
      <c r="E63" s="99"/>
      <c r="F63" s="100"/>
      <c r="G63" s="22">
        <f>(G58-G59)*(1+'Fane 13. Nøgletal'!C16)</f>
        <v>18741680.238565523</v>
      </c>
      <c r="H63" s="14" t="s">
        <v>3</v>
      </c>
      <c r="I63" s="1"/>
    </row>
    <row r="64" spans="1:9" x14ac:dyDescent="0.25">
      <c r="A64" s="1"/>
      <c r="B64" s="98" t="s">
        <v>222</v>
      </c>
      <c r="C64" s="99"/>
      <c r="D64" s="99"/>
      <c r="E64" s="99"/>
      <c r="F64" s="100"/>
      <c r="G64" s="22">
        <f>(G63)*'Fane 13. Nøgletal'!C33</f>
        <v>374833.60477131046</v>
      </c>
      <c r="H64" s="14" t="s">
        <v>3</v>
      </c>
      <c r="I64" s="1"/>
    </row>
    <row r="65" spans="1:9" x14ac:dyDescent="0.25">
      <c r="A65" s="1"/>
      <c r="B65" s="52"/>
      <c r="C65" s="53"/>
      <c r="D65" s="53"/>
      <c r="E65" s="53"/>
      <c r="F65" s="53"/>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gno0o8SvCGF107mbpGz0Ii3qeDi9+APBP/wfowQW778hGywNSBG8UZXeDW/11nmXKv6ZSgwOevjl7NOCXTWY1A==" saltValue="oZf/rA2pIdiQQcrR/zgmnQ==" spinCount="100000" sheet="1" objects="1" scenarios="1"/>
  <mergeCells count="42">
    <mergeCell ref="B62:H62"/>
    <mergeCell ref="B63:F63"/>
    <mergeCell ref="B64:F64"/>
    <mergeCell ref="B59:F59"/>
    <mergeCell ref="B52:H52"/>
    <mergeCell ref="B53:F53"/>
    <mergeCell ref="B54:F54"/>
    <mergeCell ref="B58:F58"/>
    <mergeCell ref="B37:F37"/>
    <mergeCell ref="B46:H46"/>
    <mergeCell ref="B48:F48"/>
    <mergeCell ref="B36:F36"/>
    <mergeCell ref="B57:H57"/>
    <mergeCell ref="B47:F47"/>
    <mergeCell ref="B49:F49"/>
    <mergeCell ref="B40:H40"/>
    <mergeCell ref="B41:F41"/>
    <mergeCell ref="B43:F43"/>
    <mergeCell ref="B42:F42"/>
    <mergeCell ref="B25:F25"/>
    <mergeCell ref="B35:F35"/>
    <mergeCell ref="B30:F30"/>
    <mergeCell ref="B31:F31"/>
    <mergeCell ref="B22:H22"/>
    <mergeCell ref="B24:F24"/>
    <mergeCell ref="B28:H28"/>
    <mergeCell ref="B29:F29"/>
    <mergeCell ref="B34:H34"/>
    <mergeCell ref="B15:H15"/>
    <mergeCell ref="B1:H3"/>
    <mergeCell ref="B4:H4"/>
    <mergeCell ref="B5:F5"/>
    <mergeCell ref="B6:F6"/>
    <mergeCell ref="B10:F10"/>
    <mergeCell ref="B9:H9"/>
    <mergeCell ref="B11:F11"/>
    <mergeCell ref="B12:F12"/>
    <mergeCell ref="B16:F16"/>
    <mergeCell ref="B18:F18"/>
    <mergeCell ref="B17:F17"/>
    <mergeCell ref="B19:F19"/>
    <mergeCell ref="B23:F23"/>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07" t="s">
        <v>91</v>
      </c>
      <c r="C1" s="108"/>
      <c r="D1" s="108"/>
      <c r="E1" s="108"/>
      <c r="F1" s="108"/>
      <c r="G1" s="108"/>
      <c r="H1" s="108"/>
      <c r="I1" s="1"/>
    </row>
    <row r="2" spans="1:9" ht="19.899999999999999" customHeight="1" x14ac:dyDescent="0.25">
      <c r="A2" s="1"/>
      <c r="B2" s="108"/>
      <c r="C2" s="108"/>
      <c r="D2" s="108"/>
      <c r="E2" s="108"/>
      <c r="F2" s="108"/>
      <c r="G2" s="108"/>
      <c r="H2" s="108"/>
      <c r="I2" s="1"/>
    </row>
    <row r="3" spans="1:9" ht="15" customHeight="1" x14ac:dyDescent="0.25">
      <c r="A3" s="1"/>
      <c r="B3" s="109"/>
      <c r="C3" s="109"/>
      <c r="D3" s="109"/>
      <c r="E3" s="109"/>
      <c r="F3" s="109"/>
      <c r="G3" s="109"/>
      <c r="H3" s="109"/>
      <c r="I3" s="1"/>
    </row>
    <row r="4" spans="1:9" x14ac:dyDescent="0.25">
      <c r="A4" s="1"/>
      <c r="B4" s="104" t="s">
        <v>48</v>
      </c>
      <c r="C4" s="105"/>
      <c r="D4" s="105"/>
      <c r="E4" s="105"/>
      <c r="F4" s="105"/>
      <c r="G4" s="105"/>
      <c r="H4" s="106"/>
      <c r="I4" s="1"/>
    </row>
    <row r="5" spans="1:9" x14ac:dyDescent="0.25">
      <c r="A5" s="1"/>
      <c r="B5" s="98" t="s">
        <v>51</v>
      </c>
      <c r="C5" s="99"/>
      <c r="D5" s="99"/>
      <c r="E5" s="99"/>
      <c r="F5" s="100"/>
      <c r="G5" s="47">
        <v>11769938.010773305</v>
      </c>
      <c r="H5" s="14" t="s">
        <v>3</v>
      </c>
      <c r="I5" s="1"/>
    </row>
    <row r="6" spans="1:9" x14ac:dyDescent="0.25">
      <c r="A6" s="1"/>
      <c r="B6" s="98" t="s">
        <v>49</v>
      </c>
      <c r="C6" s="99"/>
      <c r="D6" s="99"/>
      <c r="E6" s="99"/>
      <c r="F6" s="100"/>
      <c r="G6" s="22">
        <f>G5*'Fane 13. Nøgletal'!C21</f>
        <v>107106.43589803707</v>
      </c>
      <c r="H6" s="14" t="s">
        <v>3</v>
      </c>
      <c r="I6" s="1"/>
    </row>
    <row r="7" spans="1:9" x14ac:dyDescent="0.25">
      <c r="A7" s="1"/>
      <c r="B7" s="52"/>
      <c r="C7" s="53"/>
      <c r="D7" s="53"/>
      <c r="E7" s="53"/>
      <c r="F7" s="53"/>
      <c r="G7" s="53"/>
      <c r="H7" s="19"/>
      <c r="I7" s="1"/>
    </row>
    <row r="8" spans="1:9" x14ac:dyDescent="0.25">
      <c r="A8" s="1"/>
      <c r="B8" s="1"/>
      <c r="C8" s="1"/>
      <c r="D8" s="1"/>
      <c r="E8" s="1"/>
      <c r="F8" s="1"/>
      <c r="G8" s="1"/>
      <c r="H8" s="1"/>
      <c r="I8" s="1"/>
    </row>
    <row r="9" spans="1:9" x14ac:dyDescent="0.25">
      <c r="A9" s="1"/>
      <c r="B9" s="104" t="s">
        <v>52</v>
      </c>
      <c r="C9" s="105"/>
      <c r="D9" s="105"/>
      <c r="E9" s="105"/>
      <c r="F9" s="105"/>
      <c r="G9" s="105"/>
      <c r="H9" s="106"/>
      <c r="I9" s="1"/>
    </row>
    <row r="10" spans="1:9" x14ac:dyDescent="0.25">
      <c r="A10" s="1"/>
      <c r="B10" s="98" t="s">
        <v>53</v>
      </c>
      <c r="C10" s="99"/>
      <c r="D10" s="99"/>
      <c r="E10" s="99"/>
      <c r="F10" s="100"/>
      <c r="G10" s="22">
        <f>(G5-G6)*(1+'Fane 13. Nøgletal'!C9)</f>
        <v>11810949.535876183</v>
      </c>
      <c r="H10" s="14" t="s">
        <v>3</v>
      </c>
      <c r="I10" s="1"/>
    </row>
    <row r="11" spans="1:9" x14ac:dyDescent="0.25">
      <c r="A11" s="1"/>
      <c r="B11" s="101" t="s">
        <v>54</v>
      </c>
      <c r="C11" s="102"/>
      <c r="D11" s="102"/>
      <c r="E11" s="102"/>
      <c r="F11" s="103"/>
      <c r="G11" s="48">
        <v>0</v>
      </c>
      <c r="H11" s="14" t="s">
        <v>3</v>
      </c>
      <c r="I11" s="1"/>
    </row>
    <row r="12" spans="1:9" x14ac:dyDescent="0.25">
      <c r="A12" s="1"/>
      <c r="B12" s="98" t="s">
        <v>55</v>
      </c>
      <c r="C12" s="99"/>
      <c r="D12" s="99"/>
      <c r="E12" s="99"/>
      <c r="F12" s="100"/>
      <c r="G12" s="22">
        <f>G10*'Fane 13. Nøgletal'!C21+G11*'Fane 13. Nøgletal'!C22</f>
        <v>107479.64077647327</v>
      </c>
      <c r="H12" s="14" t="s">
        <v>3</v>
      </c>
      <c r="I12" s="1"/>
    </row>
    <row r="13" spans="1:9" x14ac:dyDescent="0.25">
      <c r="A13" s="1"/>
      <c r="B13" s="52"/>
      <c r="C13" s="53"/>
      <c r="D13" s="53"/>
      <c r="E13" s="53"/>
      <c r="F13" s="53"/>
      <c r="G13" s="53"/>
      <c r="H13" s="19"/>
      <c r="I13" s="1"/>
    </row>
    <row r="14" spans="1:9" x14ac:dyDescent="0.25">
      <c r="A14" s="1"/>
      <c r="B14" s="1"/>
      <c r="C14" s="1"/>
      <c r="D14" s="1"/>
      <c r="E14" s="1"/>
      <c r="F14" s="1"/>
      <c r="G14" s="1"/>
      <c r="H14" s="1"/>
      <c r="I14" s="1"/>
    </row>
    <row r="15" spans="1:9" x14ac:dyDescent="0.25">
      <c r="A15" s="1"/>
      <c r="B15" s="104" t="s">
        <v>56</v>
      </c>
      <c r="C15" s="105"/>
      <c r="D15" s="105"/>
      <c r="E15" s="105"/>
      <c r="F15" s="105"/>
      <c r="G15" s="105"/>
      <c r="H15" s="106"/>
      <c r="I15" s="1"/>
    </row>
    <row r="16" spans="1:9" x14ac:dyDescent="0.25">
      <c r="A16" s="1"/>
      <c r="B16" s="98" t="s">
        <v>57</v>
      </c>
      <c r="C16" s="99"/>
      <c r="D16" s="99"/>
      <c r="E16" s="99"/>
      <c r="F16" s="100"/>
      <c r="G16" s="22">
        <f>(G10+G11-G12)*(1+'Fane 13. Nøgletal'!C11)</f>
        <v>11901258.536326893</v>
      </c>
      <c r="H16" s="14" t="s">
        <v>3</v>
      </c>
      <c r="I16" s="1"/>
    </row>
    <row r="17" spans="1:9" x14ac:dyDescent="0.25">
      <c r="A17" s="1"/>
      <c r="B17" s="98" t="s">
        <v>101</v>
      </c>
      <c r="C17" s="99"/>
      <c r="D17" s="99"/>
      <c r="E17" s="99"/>
      <c r="F17" s="100"/>
      <c r="G17" s="47">
        <v>184015.40054029608</v>
      </c>
      <c r="H17" s="14" t="s">
        <v>3</v>
      </c>
      <c r="I17" s="1"/>
    </row>
    <row r="18" spans="1:9" x14ac:dyDescent="0.25">
      <c r="A18" s="1"/>
      <c r="B18" s="101" t="s">
        <v>58</v>
      </c>
      <c r="C18" s="102"/>
      <c r="D18" s="102"/>
      <c r="E18" s="102"/>
      <c r="F18" s="103"/>
      <c r="G18" s="47">
        <v>10650.047697389997</v>
      </c>
      <c r="H18" s="14" t="s">
        <v>3</v>
      </c>
      <c r="I18" s="1"/>
    </row>
    <row r="19" spans="1:9" x14ac:dyDescent="0.25">
      <c r="A19" s="1"/>
      <c r="B19" s="98" t="s">
        <v>59</v>
      </c>
      <c r="C19" s="99"/>
      <c r="D19" s="99"/>
      <c r="E19" s="99"/>
      <c r="F19" s="100"/>
      <c r="G19" s="22">
        <f>(G16+G17+G18)*'Fane 13. Nøgletal'!C23</f>
        <v>105234.53866571182</v>
      </c>
      <c r="H19" s="14" t="s">
        <v>3</v>
      </c>
      <c r="I19" s="1"/>
    </row>
    <row r="20" spans="1:9" x14ac:dyDescent="0.25">
      <c r="A20" s="1"/>
      <c r="B20" s="52"/>
      <c r="C20" s="53"/>
      <c r="D20" s="53"/>
      <c r="E20" s="53"/>
      <c r="F20" s="53"/>
      <c r="G20" s="53"/>
      <c r="H20" s="19"/>
      <c r="I20" s="1"/>
    </row>
    <row r="21" spans="1:9" x14ac:dyDescent="0.25">
      <c r="A21" s="1"/>
      <c r="B21" s="1"/>
      <c r="C21" s="1"/>
      <c r="D21" s="1"/>
      <c r="E21" s="1"/>
      <c r="F21" s="1"/>
      <c r="G21" s="1"/>
      <c r="H21" s="1"/>
      <c r="I21" s="1"/>
    </row>
    <row r="22" spans="1:9" x14ac:dyDescent="0.25">
      <c r="A22" s="1"/>
      <c r="B22" s="104" t="s">
        <v>60</v>
      </c>
      <c r="C22" s="105"/>
      <c r="D22" s="105"/>
      <c r="E22" s="105"/>
      <c r="F22" s="105"/>
      <c r="G22" s="105"/>
      <c r="H22" s="106"/>
      <c r="I22" s="1"/>
    </row>
    <row r="23" spans="1:9" x14ac:dyDescent="0.25">
      <c r="A23" s="1"/>
      <c r="B23" s="98" t="s">
        <v>61</v>
      </c>
      <c r="C23" s="99"/>
      <c r="D23" s="99"/>
      <c r="E23" s="99"/>
      <c r="F23" s="100"/>
      <c r="G23" s="22">
        <f>(SUM(G16:G18)-G19)*(1+'Fane 13. Nøgletal'!C11)</f>
        <v>12193332.097534556</v>
      </c>
      <c r="H23" s="14" t="s">
        <v>3</v>
      </c>
      <c r="I23" s="1"/>
    </row>
    <row r="24" spans="1:9" x14ac:dyDescent="0.25">
      <c r="A24" s="1"/>
      <c r="B24" s="101" t="s">
        <v>62</v>
      </c>
      <c r="C24" s="102"/>
      <c r="D24" s="102"/>
      <c r="E24" s="102"/>
      <c r="F24" s="103"/>
      <c r="G24" s="47">
        <v>239726.46835202377</v>
      </c>
      <c r="H24" s="14" t="s">
        <v>3</v>
      </c>
      <c r="I24" s="1"/>
    </row>
    <row r="25" spans="1:9" x14ac:dyDescent="0.25">
      <c r="A25" s="1"/>
      <c r="B25" s="98" t="s">
        <v>63</v>
      </c>
      <c r="C25" s="99"/>
      <c r="D25" s="99"/>
      <c r="E25" s="99"/>
      <c r="F25" s="100"/>
      <c r="G25" s="22">
        <f>G23*'Fane 13. Nøgletal'!C23+G24*'Fane 13. Nøgletal'!C24</f>
        <v>112890.22094974811</v>
      </c>
      <c r="H25" s="14" t="s">
        <v>3</v>
      </c>
      <c r="I25" s="1"/>
    </row>
    <row r="26" spans="1:9" x14ac:dyDescent="0.25">
      <c r="A26" s="1"/>
      <c r="B26" s="52"/>
      <c r="C26" s="53"/>
      <c r="D26" s="53"/>
      <c r="E26" s="53"/>
      <c r="F26" s="53"/>
      <c r="G26" s="53"/>
      <c r="H26" s="19"/>
      <c r="I26" s="1"/>
    </row>
    <row r="27" spans="1:9" x14ac:dyDescent="0.25">
      <c r="A27" s="1"/>
      <c r="B27" s="1"/>
      <c r="C27" s="1"/>
      <c r="D27" s="1"/>
      <c r="E27" s="1"/>
      <c r="F27" s="1"/>
      <c r="G27" s="1"/>
      <c r="H27" s="1"/>
      <c r="I27" s="1"/>
    </row>
    <row r="28" spans="1:9" x14ac:dyDescent="0.25">
      <c r="A28" s="1"/>
      <c r="B28" s="104" t="s">
        <v>119</v>
      </c>
      <c r="C28" s="105"/>
      <c r="D28" s="105"/>
      <c r="E28" s="105"/>
      <c r="F28" s="105"/>
      <c r="G28" s="105"/>
      <c r="H28" s="106"/>
      <c r="I28" s="1"/>
    </row>
    <row r="29" spans="1:9" x14ac:dyDescent="0.25">
      <c r="A29" s="1"/>
      <c r="B29" s="98" t="s">
        <v>64</v>
      </c>
      <c r="C29" s="99"/>
      <c r="D29" s="99"/>
      <c r="E29" s="99"/>
      <c r="F29" s="100"/>
      <c r="G29" s="22">
        <f>(G23+G24-G25)*(1+'Fane 13. Nøgletal'!C13)</f>
        <v>12470474.39874506</v>
      </c>
      <c r="H29" s="14" t="s">
        <v>3</v>
      </c>
      <c r="I29" s="1"/>
    </row>
    <row r="30" spans="1:9" x14ac:dyDescent="0.25">
      <c r="A30" s="1"/>
      <c r="B30" s="98" t="s">
        <v>113</v>
      </c>
      <c r="C30" s="99"/>
      <c r="D30" s="99"/>
      <c r="E30" s="99"/>
      <c r="F30" s="100"/>
      <c r="G30" s="47">
        <v>689447.60180352</v>
      </c>
      <c r="H30" s="14" t="s">
        <v>3</v>
      </c>
      <c r="I30" s="1"/>
    </row>
    <row r="31" spans="1:9" x14ac:dyDescent="0.25">
      <c r="A31" s="1"/>
      <c r="B31" s="98" t="s">
        <v>120</v>
      </c>
      <c r="C31" s="99"/>
      <c r="D31" s="99"/>
      <c r="E31" s="99"/>
      <c r="F31" s="100"/>
      <c r="G31" s="22">
        <f>(G29+G30)*'Fane 13. Nøgletal'!C25</f>
        <v>361897.85501508595</v>
      </c>
      <c r="H31" s="14" t="s">
        <v>3</v>
      </c>
      <c r="I31" s="1"/>
    </row>
    <row r="32" spans="1:9" x14ac:dyDescent="0.25">
      <c r="A32" s="1"/>
      <c r="B32" s="52"/>
      <c r="C32" s="53"/>
      <c r="D32" s="53"/>
      <c r="E32" s="53"/>
      <c r="F32" s="53"/>
      <c r="G32" s="53"/>
      <c r="H32" s="19"/>
      <c r="I32" s="1"/>
    </row>
    <row r="33" spans="1:9" x14ac:dyDescent="0.25">
      <c r="A33" s="1"/>
      <c r="B33" s="1"/>
      <c r="C33" s="1"/>
      <c r="D33" s="1"/>
      <c r="E33" s="1"/>
      <c r="F33" s="1"/>
      <c r="G33" s="1"/>
      <c r="H33" s="1"/>
      <c r="I33" s="1"/>
    </row>
    <row r="34" spans="1:9" x14ac:dyDescent="0.25">
      <c r="A34" s="1"/>
      <c r="B34" s="104" t="s">
        <v>124</v>
      </c>
      <c r="C34" s="105"/>
      <c r="D34" s="105"/>
      <c r="E34" s="105"/>
      <c r="F34" s="105"/>
      <c r="G34" s="105"/>
      <c r="H34" s="106"/>
      <c r="I34" s="1"/>
    </row>
    <row r="35" spans="1:9" x14ac:dyDescent="0.25">
      <c r="A35" s="1"/>
      <c r="B35" s="98" t="s">
        <v>67</v>
      </c>
      <c r="C35" s="99"/>
      <c r="D35" s="99"/>
      <c r="E35" s="99"/>
      <c r="F35" s="100"/>
      <c r="G35" s="22">
        <f>(G29+G30-G31)*(1+'Fane 13. Nøgletal'!C13)</f>
        <v>12954160.040109003</v>
      </c>
      <c r="H35" s="14" t="s">
        <v>3</v>
      </c>
      <c r="I35" s="1"/>
    </row>
    <row r="36" spans="1:9" x14ac:dyDescent="0.25">
      <c r="A36" s="1"/>
      <c r="B36" s="98" t="s">
        <v>129</v>
      </c>
      <c r="C36" s="99"/>
      <c r="D36" s="99"/>
      <c r="E36" s="99"/>
      <c r="F36" s="100"/>
      <c r="G36" s="22">
        <v>1135423.8657606302</v>
      </c>
      <c r="H36" s="14" t="s">
        <v>3</v>
      </c>
      <c r="I36" s="1"/>
    </row>
    <row r="37" spans="1:9" x14ac:dyDescent="0.25">
      <c r="A37" s="1"/>
      <c r="B37" s="98" t="s">
        <v>125</v>
      </c>
      <c r="C37" s="99"/>
      <c r="D37" s="99"/>
      <c r="E37" s="99"/>
      <c r="F37" s="100"/>
      <c r="G37" s="22">
        <f>G35*'Fane 13. Nøgletal'!C25+G36*'Fane 13. Nøgletal'!C26</f>
        <v>373043.67431625491</v>
      </c>
      <c r="H37" s="14" t="s">
        <v>3</v>
      </c>
      <c r="I37" s="1"/>
    </row>
    <row r="38" spans="1:9" x14ac:dyDescent="0.25">
      <c r="A38" s="1"/>
      <c r="B38" s="52"/>
      <c r="C38" s="53"/>
      <c r="D38" s="53"/>
      <c r="E38" s="53"/>
      <c r="F38" s="53"/>
      <c r="G38" s="53"/>
      <c r="H38" s="19"/>
      <c r="I38" s="1"/>
    </row>
    <row r="39" spans="1:9" x14ac:dyDescent="0.25">
      <c r="A39" s="1"/>
      <c r="B39" s="1"/>
      <c r="C39" s="1"/>
      <c r="D39" s="1"/>
      <c r="E39" s="1"/>
      <c r="F39" s="1"/>
      <c r="G39" s="1"/>
      <c r="H39" s="1"/>
      <c r="I39" s="1"/>
    </row>
    <row r="40" spans="1:9" x14ac:dyDescent="0.25">
      <c r="A40" s="1"/>
      <c r="B40" s="104" t="s">
        <v>159</v>
      </c>
      <c r="C40" s="105"/>
      <c r="D40" s="105"/>
      <c r="E40" s="105"/>
      <c r="F40" s="105"/>
      <c r="G40" s="105"/>
      <c r="H40" s="106"/>
      <c r="I40" s="1"/>
    </row>
    <row r="41" spans="1:9" x14ac:dyDescent="0.25">
      <c r="A41" s="1"/>
      <c r="B41" s="98" t="s">
        <v>66</v>
      </c>
      <c r="C41" s="99"/>
      <c r="D41" s="99"/>
      <c r="E41" s="99"/>
      <c r="F41" s="100"/>
      <c r="G41" s="22">
        <f>(G35+G36-G37)*(1+'Fane 13. Nøgletal'!C15)</f>
        <v>14204849.063796679</v>
      </c>
      <c r="H41" s="14" t="s">
        <v>3</v>
      </c>
      <c r="I41" s="1"/>
    </row>
    <row r="42" spans="1:9" x14ac:dyDescent="0.25">
      <c r="A42" s="1"/>
      <c r="B42" s="98" t="s">
        <v>169</v>
      </c>
      <c r="C42" s="99"/>
      <c r="D42" s="99"/>
      <c r="E42" s="99"/>
      <c r="F42" s="100"/>
      <c r="G42" s="9">
        <v>58193.151420960014</v>
      </c>
      <c r="H42" s="14" t="s">
        <v>3</v>
      </c>
      <c r="I42" s="1"/>
    </row>
    <row r="43" spans="1:9" x14ac:dyDescent="0.25">
      <c r="A43" s="1"/>
      <c r="B43" s="98" t="s">
        <v>65</v>
      </c>
      <c r="C43" s="99"/>
      <c r="D43" s="99"/>
      <c r="E43" s="99"/>
      <c r="F43" s="100"/>
      <c r="G43" s="48">
        <f>(G41+G42)*'Fane 13. Nøgletal'!C27</f>
        <v>0</v>
      </c>
      <c r="H43" s="14" t="s">
        <v>3</v>
      </c>
      <c r="I43" s="1"/>
    </row>
    <row r="44" spans="1:9" x14ac:dyDescent="0.25">
      <c r="A44" s="1"/>
      <c r="B44" s="52"/>
      <c r="C44" s="53"/>
      <c r="D44" s="53"/>
      <c r="E44" s="53"/>
      <c r="F44" s="53"/>
      <c r="G44" s="53"/>
      <c r="H44" s="19"/>
      <c r="I44" s="1"/>
    </row>
    <row r="45" spans="1:9" ht="12" customHeight="1" x14ac:dyDescent="0.25">
      <c r="A45" s="1"/>
      <c r="B45" s="1"/>
      <c r="C45" s="1"/>
      <c r="D45" s="1"/>
      <c r="E45" s="1"/>
      <c r="F45" s="1"/>
      <c r="G45" s="1"/>
      <c r="H45" s="1"/>
      <c r="I45" s="1"/>
    </row>
    <row r="46" spans="1:9" x14ac:dyDescent="0.25">
      <c r="A46" s="1"/>
      <c r="B46" s="104" t="s">
        <v>160</v>
      </c>
      <c r="C46" s="105"/>
      <c r="D46" s="105"/>
      <c r="E46" s="105"/>
      <c r="F46" s="105"/>
      <c r="G46" s="105"/>
      <c r="H46" s="106"/>
      <c r="I46" s="1"/>
    </row>
    <row r="47" spans="1:9" x14ac:dyDescent="0.25">
      <c r="A47" s="1"/>
      <c r="B47" s="98" t="s">
        <v>114</v>
      </c>
      <c r="C47" s="99"/>
      <c r="D47" s="99"/>
      <c r="E47" s="99"/>
      <c r="F47" s="100"/>
      <c r="G47" s="22">
        <f>(G41+G42-G43)*(1+'Fane 13. Nøgletal'!C15)</f>
        <v>14770806.518079387</v>
      </c>
      <c r="H47" s="14" t="s">
        <v>3</v>
      </c>
      <c r="I47" s="1"/>
    </row>
    <row r="48" spans="1:9" x14ac:dyDescent="0.25">
      <c r="A48" s="1"/>
      <c r="B48" s="98" t="s">
        <v>210</v>
      </c>
      <c r="C48" s="99"/>
      <c r="D48" s="99"/>
      <c r="E48" s="99"/>
      <c r="F48" s="100"/>
      <c r="G48" s="22">
        <f>('Fane 2.1. Økonomisk ramme 2024'!C10+'Fane 2.1. Økonomisk ramme 2024'!C12+'Fane 2.1. Økonomisk ramme 2024'!C14)*(1+'Fane 13. Nøgletal'!C16)</f>
        <v>163751.77714112002</v>
      </c>
      <c r="H48" s="14" t="s">
        <v>3</v>
      </c>
      <c r="I48" s="1"/>
    </row>
    <row r="49" spans="1:9" x14ac:dyDescent="0.25">
      <c r="A49" s="1"/>
      <c r="B49" s="98" t="s">
        <v>211</v>
      </c>
      <c r="C49" s="99"/>
      <c r="D49" s="99"/>
      <c r="E49" s="99"/>
      <c r="F49" s="100"/>
      <c r="G49" s="48">
        <f>(G47)*'Fane 13. Nøgletal'!C27+G48*'Fane 13. Nøgletal'!C28</f>
        <v>0</v>
      </c>
      <c r="H49" s="14" t="s">
        <v>3</v>
      </c>
      <c r="I49" s="1"/>
    </row>
    <row r="50" spans="1:9" x14ac:dyDescent="0.25">
      <c r="A50" s="1"/>
      <c r="B50" s="52"/>
      <c r="C50" s="53"/>
      <c r="D50" s="53"/>
      <c r="E50" s="53"/>
      <c r="F50" s="53"/>
      <c r="G50" s="53"/>
      <c r="H50" s="19"/>
      <c r="I50" s="1"/>
    </row>
    <row r="51" spans="1:9" x14ac:dyDescent="0.25">
      <c r="A51" s="1"/>
      <c r="B51" s="1"/>
      <c r="C51" s="1"/>
      <c r="D51" s="1"/>
      <c r="E51" s="1"/>
      <c r="F51" s="1"/>
      <c r="G51" s="1"/>
      <c r="H51" s="1"/>
      <c r="I51" s="1"/>
    </row>
    <row r="52" spans="1:9" x14ac:dyDescent="0.25">
      <c r="A52" s="1"/>
      <c r="B52" s="104" t="s">
        <v>130</v>
      </c>
      <c r="C52" s="105"/>
      <c r="D52" s="105"/>
      <c r="E52" s="105"/>
      <c r="F52" s="105"/>
      <c r="G52" s="105"/>
      <c r="H52" s="106"/>
      <c r="I52" s="1"/>
    </row>
    <row r="53" spans="1:9" x14ac:dyDescent="0.25">
      <c r="A53" s="1"/>
      <c r="B53" s="98" t="s">
        <v>131</v>
      </c>
      <c r="C53" s="99"/>
      <c r="D53" s="99"/>
      <c r="E53" s="99"/>
      <c r="F53" s="100"/>
      <c r="G53" s="22">
        <f>(G47+G48-G49)*(1+'Fane 13. Nøgletal'!C16)</f>
        <v>16141270.605474325</v>
      </c>
      <c r="H53" s="14" t="s">
        <v>3</v>
      </c>
      <c r="I53" s="1"/>
    </row>
    <row r="54" spans="1:9" x14ac:dyDescent="0.25">
      <c r="A54" s="1"/>
      <c r="B54" s="98" t="s">
        <v>132</v>
      </c>
      <c r="C54" s="99"/>
      <c r="D54" s="99"/>
      <c r="E54" s="99"/>
      <c r="F54" s="100"/>
      <c r="G54" s="48">
        <f>(G53)*'Fane 13. Nøgletal'!C28</f>
        <v>0</v>
      </c>
      <c r="H54" s="14" t="s">
        <v>3</v>
      </c>
      <c r="I54" s="1"/>
    </row>
    <row r="55" spans="1:9" x14ac:dyDescent="0.25">
      <c r="A55" s="1"/>
      <c r="B55" s="52"/>
      <c r="C55" s="53"/>
      <c r="D55" s="53"/>
      <c r="E55" s="53"/>
      <c r="F55" s="53"/>
      <c r="G55" s="53"/>
      <c r="H55" s="19"/>
      <c r="I55" s="1"/>
    </row>
    <row r="56" spans="1:9" x14ac:dyDescent="0.25">
      <c r="A56" s="1"/>
      <c r="B56" s="1"/>
      <c r="C56" s="1"/>
      <c r="D56" s="1"/>
      <c r="E56" s="1"/>
      <c r="F56" s="1"/>
      <c r="G56" s="1"/>
      <c r="H56" s="1"/>
      <c r="I56" s="1"/>
    </row>
    <row r="57" spans="1:9" x14ac:dyDescent="0.25">
      <c r="A57" s="1"/>
      <c r="B57" s="104" t="s">
        <v>147</v>
      </c>
      <c r="C57" s="105"/>
      <c r="D57" s="105"/>
      <c r="E57" s="105"/>
      <c r="F57" s="105"/>
      <c r="G57" s="105"/>
      <c r="H57" s="106"/>
      <c r="I57" s="1"/>
    </row>
    <row r="58" spans="1:9" x14ac:dyDescent="0.25">
      <c r="A58" s="1"/>
      <c r="B58" s="98" t="s">
        <v>148</v>
      </c>
      <c r="C58" s="99"/>
      <c r="D58" s="99"/>
      <c r="E58" s="99"/>
      <c r="F58" s="100"/>
      <c r="G58" s="22">
        <f>(G53-G54)*(1+'Fane 13. Nøgletal'!C16)</f>
        <v>17445485.27039665</v>
      </c>
      <c r="H58" s="14" t="s">
        <v>3</v>
      </c>
      <c r="I58" s="1"/>
    </row>
    <row r="59" spans="1:9" x14ac:dyDescent="0.25">
      <c r="A59" s="1"/>
      <c r="B59" s="98" t="s">
        <v>149</v>
      </c>
      <c r="C59" s="99"/>
      <c r="D59" s="99"/>
      <c r="E59" s="99"/>
      <c r="F59" s="100"/>
      <c r="G59" s="48">
        <f>(G58)*'Fane 13. Nøgletal'!C28</f>
        <v>0</v>
      </c>
      <c r="H59" s="14" t="s">
        <v>3</v>
      </c>
      <c r="I59" s="1"/>
    </row>
    <row r="60" spans="1:9" x14ac:dyDescent="0.25">
      <c r="A60" s="1"/>
      <c r="B60" s="52"/>
      <c r="C60" s="53"/>
      <c r="D60" s="53"/>
      <c r="E60" s="53"/>
      <c r="F60" s="53"/>
      <c r="G60" s="53"/>
      <c r="H60" s="19"/>
      <c r="I60" s="1"/>
    </row>
    <row r="61" spans="1:9" x14ac:dyDescent="0.25">
      <c r="A61" s="1"/>
      <c r="B61" s="1"/>
      <c r="C61" s="1"/>
      <c r="D61" s="1"/>
      <c r="E61" s="1"/>
      <c r="F61" s="1"/>
      <c r="G61" s="1"/>
      <c r="H61" s="1"/>
      <c r="I61" s="1"/>
    </row>
    <row r="62" spans="1:9" x14ac:dyDescent="0.25">
      <c r="A62" s="1"/>
      <c r="B62" s="104" t="s">
        <v>223</v>
      </c>
      <c r="C62" s="105"/>
      <c r="D62" s="105"/>
      <c r="E62" s="105"/>
      <c r="F62" s="105"/>
      <c r="G62" s="105"/>
      <c r="H62" s="106"/>
      <c r="I62" s="1"/>
    </row>
    <row r="63" spans="1:9" x14ac:dyDescent="0.25">
      <c r="A63" s="1"/>
      <c r="B63" s="98" t="s">
        <v>224</v>
      </c>
      <c r="C63" s="99"/>
      <c r="D63" s="99"/>
      <c r="E63" s="99"/>
      <c r="F63" s="100"/>
      <c r="G63" s="22">
        <f>(G58-G59)*(1+'Fane 13. Nøgletal'!C16)</f>
        <v>18855080.4802447</v>
      </c>
      <c r="H63" s="14" t="s">
        <v>3</v>
      </c>
      <c r="I63" s="1"/>
    </row>
    <row r="64" spans="1:9" x14ac:dyDescent="0.25">
      <c r="A64" s="1"/>
      <c r="B64" s="98" t="s">
        <v>225</v>
      </c>
      <c r="C64" s="99"/>
      <c r="D64" s="99"/>
      <c r="E64" s="99"/>
      <c r="F64" s="100"/>
      <c r="G64" s="48">
        <f>(G63)*'Fane 13. Nøgletal'!C28</f>
        <v>0</v>
      </c>
      <c r="H64" s="14" t="s">
        <v>3</v>
      </c>
      <c r="I64" s="1"/>
    </row>
    <row r="65" spans="1:9" x14ac:dyDescent="0.25">
      <c r="A65" s="1"/>
      <c r="B65" s="52"/>
      <c r="C65" s="53"/>
      <c r="D65" s="53"/>
      <c r="E65" s="53"/>
      <c r="F65" s="53"/>
      <c r="G65" s="53"/>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W8sPOYKjjxMwpJhre30G2/hs7BPtDpnQns/zAB/yqKublO/SQSVabFSP3lffrShNG10YwaD+i43rxJhzL86xYQ==" saltValue="j4Dofl9LNUc3VxnJnhZ2Ag==" spinCount="100000" sheet="1" objects="1" scenarios="1"/>
  <mergeCells count="42">
    <mergeCell ref="B62:H62"/>
    <mergeCell ref="B63:F63"/>
    <mergeCell ref="B64:F64"/>
    <mergeCell ref="B57:H57"/>
    <mergeCell ref="B58:F58"/>
    <mergeCell ref="B59:F59"/>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34:H34"/>
    <mergeCell ref="B12:F12"/>
    <mergeCell ref="B15:H15"/>
    <mergeCell ref="B16:F16"/>
    <mergeCell ref="B18:F18"/>
    <mergeCell ref="B30:F30"/>
    <mergeCell ref="B17:F17"/>
    <mergeCell ref="B22:H22"/>
    <mergeCell ref="B23:F23"/>
    <mergeCell ref="B24:F24"/>
    <mergeCell ref="B25:F25"/>
    <mergeCell ref="B47:F47"/>
    <mergeCell ref="B49:F49"/>
    <mergeCell ref="B36:F36"/>
    <mergeCell ref="B42:F42"/>
    <mergeCell ref="B41:F41"/>
    <mergeCell ref="B40:H40"/>
    <mergeCell ref="B37:F37"/>
    <mergeCell ref="B46:H46"/>
    <mergeCell ref="B48:F48"/>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4" t="s">
        <v>77</v>
      </c>
      <c r="C3" s="94"/>
      <c r="D3" s="94"/>
      <c r="E3" s="94"/>
      <c r="F3" s="94"/>
      <c r="G3" s="94"/>
      <c r="H3" s="1"/>
    </row>
    <row r="4" spans="1:8" ht="15" customHeight="1" x14ac:dyDescent="0.25">
      <c r="A4" s="1"/>
      <c r="B4" s="94"/>
      <c r="C4" s="94"/>
      <c r="D4" s="94"/>
      <c r="E4" s="94"/>
      <c r="F4" s="94"/>
      <c r="G4" s="94"/>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4" t="s">
        <v>9</v>
      </c>
      <c r="C8" s="105"/>
      <c r="D8" s="105"/>
      <c r="E8" s="105"/>
      <c r="F8" s="105"/>
      <c r="G8" s="106"/>
      <c r="H8" s="1"/>
    </row>
    <row r="9" spans="1:8" x14ac:dyDescent="0.25">
      <c r="A9" s="1"/>
      <c r="B9" s="65" t="s">
        <v>150</v>
      </c>
      <c r="C9" s="66"/>
      <c r="D9" s="66"/>
      <c r="E9" s="66"/>
      <c r="F9" s="67"/>
      <c r="G9" s="51">
        <v>0</v>
      </c>
      <c r="H9" s="1"/>
    </row>
    <row r="10" spans="1:8" x14ac:dyDescent="0.25">
      <c r="A10" s="1"/>
      <c r="B10" s="52"/>
      <c r="C10" s="53"/>
      <c r="D10" s="53"/>
      <c r="E10" s="53"/>
      <c r="F10" s="53"/>
      <c r="G10" s="19"/>
      <c r="H10" s="1"/>
    </row>
    <row r="11" spans="1:8" ht="15" customHeight="1" x14ac:dyDescent="0.25">
      <c r="A11" s="1"/>
      <c r="B11" s="110" t="s">
        <v>236</v>
      </c>
      <c r="C11" s="111"/>
      <c r="D11" s="111"/>
      <c r="E11" s="111"/>
      <c r="F11" s="111"/>
      <c r="G11" s="112"/>
      <c r="H11" s="1"/>
    </row>
    <row r="12" spans="1:8" ht="13.5" customHeight="1" x14ac:dyDescent="0.25">
      <c r="A12" s="1"/>
      <c r="B12" s="113"/>
      <c r="C12" s="114"/>
      <c r="D12" s="114"/>
      <c r="E12" s="114"/>
      <c r="F12" s="114"/>
      <c r="G12" s="115"/>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HH626XgjTYQ+NaZnN1pQuzBbHE7RewjToylPcWmmCwqcoKaz86xnC32Cdjbfz64XK6ECgSnzpvOxqurJ3hOmnw==" saltValue="s6EPYzOkxwvH75V/dSnZng=="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2023-11-06T16:09:23Z</dcterms:modified>
</cp:coreProperties>
</file>