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codeName="Denne_projektmappe" defaultThemeVersion="124226"/>
  <mc:AlternateContent xmlns:mc="http://schemas.openxmlformats.org/markup-compatibility/2006">
    <mc:Choice Requires="x15">
      <x15ac:absPath xmlns:x15ac="http://schemas.microsoft.com/office/spreadsheetml/2010/11/ac" url="E:\VAND\Sagsbehandling\Drikkevand\HTK Vand AS (V098)\ØR2024\"/>
    </mc:Choice>
  </mc:AlternateContent>
  <xr:revisionPtr revIDLastSave="0" documentId="13_ncr:1_{55EBB3EA-93F4-43D7-BF56-BBAFEEA85C94}"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2024'!$B$7:$D$35</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C29" i="2" l="1"/>
  <c r="E23" i="42"/>
  <c r="E31" i="42" s="1"/>
  <c r="E33" i="42" s="1"/>
  <c r="C17" i="22" s="1"/>
  <c r="C17" i="15" l="1"/>
  <c r="E27" i="42"/>
  <c r="C8" i="2"/>
  <c r="C13" i="29" l="1"/>
  <c r="C14" i="29" s="1"/>
  <c r="E14" i="39" l="1"/>
  <c r="C14" i="39"/>
  <c r="C31" i="2" l="1"/>
  <c r="E15" i="39" l="1"/>
  <c r="C15" i="39"/>
  <c r="J11" i="11"/>
  <c r="H11" i="11"/>
  <c r="F10" i="11" l="1"/>
  <c r="F11" i="11" s="1"/>
  <c r="C19" i="23" l="1"/>
  <c r="C19" i="22"/>
  <c r="C19" i="15"/>
  <c r="G18" i="40"/>
  <c r="E13" i="29" l="1"/>
  <c r="C18" i="19"/>
  <c r="C19" i="19" s="1"/>
  <c r="C15" i="23" l="1"/>
  <c r="C15" i="15"/>
  <c r="C15" i="22"/>
  <c r="E14" i="29"/>
  <c r="C14" i="2" s="1"/>
  <c r="E10" i="37"/>
  <c r="E29" i="37" s="1"/>
  <c r="E30" i="37" s="1"/>
  <c r="C10" i="37"/>
  <c r="C29" i="37" s="1"/>
  <c r="C30" i="37" s="1"/>
  <c r="G6" i="30" l="1"/>
  <c r="C23" i="2" l="1"/>
  <c r="C25" i="2" s="1"/>
  <c r="G10" i="30" l="1"/>
  <c r="G12" i="30" s="1"/>
  <c r="C10" i="2" l="1"/>
  <c r="E13" i="21"/>
  <c r="E14" i="21" s="1"/>
  <c r="C13" i="21"/>
  <c r="C14" i="21" s="1"/>
  <c r="C11" i="2" l="1"/>
  <c r="C12" i="2"/>
  <c r="G48" i="36" s="1"/>
  <c r="C24" i="2" l="1"/>
  <c r="C26" i="2" s="1"/>
  <c r="G6" i="36" l="1"/>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4" i="2" s="1"/>
  <c r="G58" i="36" l="1"/>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<sst xmlns="http://schemas.openxmlformats.org/spreadsheetml/2006/main" count="596" uniqueCount="285">
  <si>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</si>
  <si>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</si>
  <si>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</si>
  <si>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</si>
  <si>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</si>
  <si>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</si>
  <si>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</si>
  <si>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</si>
  <si>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</si>
  <si>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</si>
  <si>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</si>
  <si>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</si>
  <si>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</si>
  <si>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</si>
  <si>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</si>
  <si>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</si>
  <si>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</si>
  <si>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</si>
  <si>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</si>
  <si>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</si>
  <si>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</si>
  <si>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</si>
  <si>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</si>
  <si>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</si>
  <si>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</si>
  <si>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</si>
  <si>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</si>
  <si>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</si>
  <si>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</si>
  <si>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</si>
  <si>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</si>
  <si>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</si>
  <si>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</si>
  <si>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</si>
  <si>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</si>
  <si>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</si>
  <si>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</si>
  <si>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</si>
  <si>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</si>
  <si>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</si>
  <si>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</si>
  <si>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</si>
  <si>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</si>
  <si>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</si>
  <si>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</si>
  <si>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</si>
  <si>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</si>
  <si>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</si>
  <si>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</si>
  <si>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</si>
  <si>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</si>
  <si>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</si>
  <si>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</si>
  <si>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</si>
  <si>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</si>
  <si>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</si>
  <si>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</si>
  <si>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</si>
  <si>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</si>
  <si>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</si>
  <si>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</si>
  <si>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</si>
  <si>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</si>
  <si>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</si>
  <si>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</si>
  <si>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</si>
  <si>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</si>
  <si>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</si>
  <si>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</si>
  <si>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</si>
  <si>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</si>
  <si>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</si>
  <si>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</si>
  <si>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</si>
  <si>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</si>
  <si>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</si>
  <si>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</si>
  <si>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</si>
  <si>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</si>
  <si>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</si>
  <si>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</si>
  <si>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</si>
  <si>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</si>
  <si>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</si>
  <si>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</si>
  <si>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</si>
  <si>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</si>
  <si>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</si>
  <si>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</si>
  <si>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</si>
  <si>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</si>
  <si>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</si>
  <si>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</si>
  <si>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</si>
  <si>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</si>
  <si>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</si>
  <si>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</si>
  <si>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</si>
  <si>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</si>
  <si>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</si>
  <si>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</si>
  <si>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</si>
  <si>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</si>
  <si>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</si>
  <si>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</si>
  <si>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</si>
  <si>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</si>
  <si>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</si>
  <si>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</si>
  <si>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</si>
  <si>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</si>
  <si>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</si>
  <si>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</si>
  <si>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</si>
  <si>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</si>
  <si>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</si>
  <si>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</si>
  <si>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</si>
  <si>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</si>
  <si>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</si>
  <si>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</si>
  <si>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</si>
  <si>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</si>
  <si>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</si>
  <si>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</si>
  <si>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</si>
  <si>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</si>
  <si>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</si>
  <si>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</si>
  <si>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</si>
  <si>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</si>
  <si>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</si>
  <si>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</si>
  <si>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</si>
  <si>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</si>
  <si>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</si>
  <si>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</si>
  <si>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</si>
  <si>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</si>
  <si>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</si>
  <si>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</si>
  <si>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</si>
  <si>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</si>
  <si>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</si>
  <si>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</si>
  <si>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</si>
  <si>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</si>
  <si>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</si>
  <si>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</si>
  <si>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</si>
  <si>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</si>
  <si>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</si>
  <si>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</si>
  <si>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</si>
  <si>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</si>
  <si>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</si>
  <si>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</si>
  <si>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</si>
  <si>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</si>
  <si>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</si>
  <si>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</si>
  <si>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</si>
  <si>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</si>
  <si>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</si>
  <si>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</si>
  <si>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</si>
  <si>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</si>
  <si>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</si>
  <si>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</si>
  <si>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</si>
  <si>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</si>
  <si>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</si>
  <si>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</si>
  <si>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</si>
  <si>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</si>
  <si>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</si>
  <si>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</si>
  <si>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</si>
  <si>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</si>
  <si>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</si>
  <si>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</si>
  <si>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</si>
  <si>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</si>
  <si>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</si>
  <si>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</si>
  <si>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</si>
  <si>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</si>
  <si>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</si>
  <si>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</si>
  <si>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</si>
  <si>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</si>
  <si>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</si>
  <si>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</si>
  <si>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</si>
  <si>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</si>
  <si>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</si>
  <si>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</si>
  <si>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</si>
  <si>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</si>
  <si>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</si>
  <si>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</si>
  <si>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</si>
  <si>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</si>
  <si>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</si>
  <si>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</si>
  <si>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</si>
  <si>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</si>
  <si>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</si>
  <si>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</si>
  <si>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</si>
  <si>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</si>
  <si>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</si>
  <si>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</si>
  <si>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</si>
  <si>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</si>
  <si>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</si>
  <si>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</si>
  <si>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</si>
  <si>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</si>
  <si>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</si>
  <si>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</si>
  <si>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</si>
  <si>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</si>
  <si>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</si>
  <si>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</si>
  <si>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</si>
  <si>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</si>
  <si>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</si>
  <si>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</si>
  <si>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</si>
  <si>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</si>
  <si>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</si>
  <si>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</si>
  <si>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</si>
  <si>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</si>
  <si>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</si>
  <si>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</si>
  <si>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</si>
  <si>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</si>
  <si>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</si>
  <si>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</si>
  <si>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</si>
  <si>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</si>
  <si>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</si>
  <si>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</si>
  <si>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</si>
  <si>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</si>
  <si>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Tjenestemandspensioner</t>
  </si>
  <si>
    <t>Opsætning af elektroniske målere</t>
  </si>
  <si>
    <t>Beredskabsvej og Cathrinebergvej mv.</t>
  </si>
  <si>
    <t>Blekinge Boulevards forlængelse</t>
  </si>
  <si>
    <t>Bornholms Alle</t>
  </si>
  <si>
    <t>Cikoriehaven</t>
  </si>
  <si>
    <t>Enghavegårdsvej</t>
  </si>
  <si>
    <t>Kirkestien 4</t>
  </si>
  <si>
    <t>NærHeden, etape 6</t>
  </si>
  <si>
    <t>REKA A09/A11/A14/A16</t>
  </si>
  <si>
    <t>Remisen (rækkehuse på Teglbakken)</t>
  </si>
  <si>
    <t>Rømershøj Vandværk</t>
  </si>
  <si>
    <t>Svanegade 2-36 (NH3)</t>
  </si>
  <si>
    <t>Søgræsgade (stamvej)</t>
  </si>
  <si>
    <t>Søgræsgade 2-152 (NH2A)</t>
  </si>
  <si>
    <t>Tilslutning af enkeltejendomme</t>
  </si>
  <si>
    <t>Vindmøllegrunden, IKEA</t>
  </si>
  <si>
    <t>Ingen engangstillæg</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</si>
  <si>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</si>
  <si>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</si>
  <si>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</si>
  <si>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</si>
  <si>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</si>
  <si>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</si>
  <si>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</si>
  <si>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</si>
  <si>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</si>
  <si>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</si>
  <si>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</si>
  <si>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</si>
  <si>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</si>
  <si>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Justering af den økonomiske ramme</t>
  </si>
  <si>
    <t>Justering af den økonomiske ramme for stigende el-omkostninger</t>
  </si>
  <si>
    <t>Fusion med Birkevængets Vandværk a.m.b.a. - afgift af ledningsført vand</t>
  </si>
  <si>
    <t>Fusion med Høje Thorstrup Vandværk Amba - køb af vand eller ydelser</t>
  </si>
  <si>
    <t>Fusion med Høje Thorstrup Vandværk Amba -  afgift af ledningsført vand</t>
  </si>
  <si>
    <t>Fusion med Birkevængets Vandværk a.m.b.a.</t>
  </si>
  <si>
    <t>Fusion med Høje Thorstrup Vandværk Amba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</si>
</sst>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0" fontId="8" fillId="0" borderId="0" xfId="0"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5-28"/>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sheetData sheetId="10">
        <row r="5">
          <cell r="C5">
            <v>1.0168999999999999</v>
          </cell>
        </row>
      </sheetData>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2" t="s">
        <v>4</v>
      </c>
      <c r="E6" s="82"/>
      <c r="F6" s="82"/>
      <c r="G6" s="82"/>
      <c r="H6" s="3"/>
      <c r="I6" s="1"/>
    </row>
    <row r="7" spans="1:9" ht="15" customHeight="1" x14ac:dyDescent="0.25">
      <c r="A7" s="1"/>
      <c r="B7" s="1"/>
      <c r="C7" s="3"/>
      <c r="D7" s="82"/>
      <c r="E7" s="82"/>
      <c r="F7" s="82"/>
      <c r="G7" s="82"/>
      <c r="H7" s="3"/>
      <c r="I7" s="1"/>
    </row>
    <row r="8" spans="1:9" ht="15.75" x14ac:dyDescent="0.25">
      <c r="A8" s="1"/>
      <c r="B8" s="1"/>
      <c r="C8" s="4"/>
      <c r="D8" s="87" t="s">
        <v>235</v>
      </c>
      <c r="E8" s="87"/>
      <c r="F8" s="87"/>
      <c r="G8" s="87"/>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86" t="s">
        <v>5</v>
      </c>
      <c r="E11" s="86"/>
      <c r="F11" s="86"/>
      <c r="G11" s="86"/>
      <c r="H11" s="5"/>
      <c r="I11" s="1"/>
    </row>
    <row r="12" spans="1:9" x14ac:dyDescent="0.25">
      <c r="A12" s="1"/>
      <c r="B12" s="1"/>
      <c r="C12" s="1"/>
      <c r="D12" s="1"/>
      <c r="E12" s="1"/>
      <c r="F12" s="1"/>
      <c r="G12" s="1"/>
      <c r="H12" s="1"/>
      <c r="I12" s="1"/>
    </row>
    <row r="13" spans="1:9" x14ac:dyDescent="0.25">
      <c r="A13" s="1"/>
      <c r="B13" s="1"/>
      <c r="C13" s="6" t="s">
        <v>6</v>
      </c>
      <c r="D13" s="79" t="s">
        <v>162</v>
      </c>
      <c r="E13" s="80"/>
      <c r="F13" s="80"/>
      <c r="G13" s="81"/>
      <c r="H13" s="1"/>
      <c r="I13" s="1"/>
    </row>
    <row r="14" spans="1:9" x14ac:dyDescent="0.25">
      <c r="A14" s="1"/>
      <c r="B14" s="1"/>
      <c r="C14" s="6" t="s">
        <v>14</v>
      </c>
      <c r="D14" s="79" t="s">
        <v>197</v>
      </c>
      <c r="E14" s="80"/>
      <c r="F14" s="80"/>
      <c r="G14" s="81"/>
      <c r="H14" s="1"/>
      <c r="I14" s="1"/>
    </row>
    <row r="15" spans="1:9" x14ac:dyDescent="0.25">
      <c r="A15" s="1"/>
      <c r="B15" s="1"/>
      <c r="C15" s="6" t="s">
        <v>30</v>
      </c>
      <c r="D15" s="79" t="s">
        <v>141</v>
      </c>
      <c r="E15" s="80"/>
      <c r="F15" s="80"/>
      <c r="G15" s="81"/>
      <c r="H15" s="1"/>
      <c r="I15" s="1"/>
    </row>
    <row r="16" spans="1:9" x14ac:dyDescent="0.25">
      <c r="A16" s="1"/>
      <c r="B16" s="1"/>
      <c r="C16" s="6" t="s">
        <v>31</v>
      </c>
      <c r="D16" s="79" t="s">
        <v>194</v>
      </c>
      <c r="E16" s="80"/>
      <c r="F16" s="80"/>
      <c r="G16" s="81"/>
      <c r="H16" s="1"/>
      <c r="I16" s="1"/>
    </row>
    <row r="17" spans="1:9" x14ac:dyDescent="0.25">
      <c r="A17" s="1"/>
      <c r="B17" s="1"/>
      <c r="C17" s="6" t="s">
        <v>102</v>
      </c>
      <c r="D17" s="79" t="s">
        <v>195</v>
      </c>
      <c r="E17" s="80"/>
      <c r="F17" s="80"/>
      <c r="G17" s="81"/>
      <c r="H17" s="1"/>
      <c r="I17" s="1"/>
    </row>
    <row r="18" spans="1:9" x14ac:dyDescent="0.25">
      <c r="A18" s="1"/>
      <c r="B18" s="1"/>
      <c r="C18" s="6" t="s">
        <v>86</v>
      </c>
      <c r="D18" s="88" t="s">
        <v>79</v>
      </c>
      <c r="E18" s="89"/>
      <c r="F18" s="89"/>
      <c r="G18" s="90"/>
      <c r="H18" s="1"/>
      <c r="I18" s="1"/>
    </row>
    <row r="19" spans="1:9" x14ac:dyDescent="0.25">
      <c r="A19" s="1"/>
      <c r="B19" s="1"/>
      <c r="C19" s="6" t="s">
        <v>87</v>
      </c>
      <c r="D19" s="88" t="s">
        <v>80</v>
      </c>
      <c r="E19" s="89"/>
      <c r="F19" s="89"/>
      <c r="G19" s="90"/>
      <c r="H19" s="1"/>
      <c r="I19" s="1"/>
    </row>
    <row r="20" spans="1:9" x14ac:dyDescent="0.25">
      <c r="A20" s="1"/>
      <c r="B20" s="1"/>
      <c r="C20" s="6" t="s">
        <v>7</v>
      </c>
      <c r="D20" s="88" t="s">
        <v>9</v>
      </c>
      <c r="E20" s="89"/>
      <c r="F20" s="89"/>
      <c r="G20" s="90"/>
      <c r="H20" s="1"/>
      <c r="I20" s="1"/>
    </row>
    <row r="21" spans="1:9" x14ac:dyDescent="0.25">
      <c r="A21" s="1"/>
      <c r="B21" s="1"/>
      <c r="C21" s="6" t="s">
        <v>88</v>
      </c>
      <c r="D21" s="94" t="s">
        <v>11</v>
      </c>
      <c r="E21" s="95"/>
      <c r="F21" s="95"/>
      <c r="G21" s="96"/>
      <c r="H21" s="1"/>
      <c r="I21" s="1"/>
    </row>
    <row r="22" spans="1:9" x14ac:dyDescent="0.25">
      <c r="A22" s="1"/>
      <c r="B22" s="1"/>
      <c r="C22" s="6" t="s">
        <v>73</v>
      </c>
      <c r="D22" s="83" t="s">
        <v>196</v>
      </c>
      <c r="E22" s="84"/>
      <c r="F22" s="84"/>
      <c r="G22" s="85"/>
      <c r="H22" s="1"/>
      <c r="I22" s="1"/>
    </row>
    <row r="23" spans="1:9" x14ac:dyDescent="0.25">
      <c r="A23" s="1"/>
      <c r="B23" s="1"/>
      <c r="C23" s="6" t="s">
        <v>8</v>
      </c>
      <c r="D23" s="83" t="s">
        <v>176</v>
      </c>
      <c r="E23" s="84"/>
      <c r="F23" s="84"/>
      <c r="G23" s="85"/>
      <c r="H23" s="1"/>
      <c r="I23" s="1"/>
    </row>
    <row r="24" spans="1:9" x14ac:dyDescent="0.25">
      <c r="A24" s="1"/>
      <c r="B24" s="1"/>
      <c r="C24" s="6" t="s">
        <v>172</v>
      </c>
      <c r="D24" s="83" t="s">
        <v>163</v>
      </c>
      <c r="E24" s="84"/>
      <c r="F24" s="84"/>
      <c r="G24" s="85"/>
      <c r="H24" s="1"/>
      <c r="I24" s="1"/>
    </row>
    <row r="25" spans="1:9" x14ac:dyDescent="0.25">
      <c r="A25" s="1"/>
      <c r="B25" s="1"/>
      <c r="C25" s="6" t="s">
        <v>173</v>
      </c>
      <c r="D25" s="83" t="s">
        <v>74</v>
      </c>
      <c r="E25" s="84"/>
      <c r="F25" s="84"/>
      <c r="G25" s="85"/>
      <c r="H25" s="1"/>
      <c r="I25" s="1"/>
    </row>
    <row r="26" spans="1:9" x14ac:dyDescent="0.25">
      <c r="A26" s="1"/>
      <c r="B26" s="1"/>
      <c r="C26" s="6" t="s">
        <v>174</v>
      </c>
      <c r="D26" s="83" t="s">
        <v>75</v>
      </c>
      <c r="E26" s="84"/>
      <c r="F26" s="84"/>
      <c r="G26" s="85"/>
      <c r="H26" s="1"/>
      <c r="I26" s="1"/>
    </row>
    <row r="27" spans="1:9" x14ac:dyDescent="0.25">
      <c r="A27" s="1"/>
      <c r="B27" s="1"/>
      <c r="C27" s="6" t="s">
        <v>89</v>
      </c>
      <c r="D27" s="83" t="s">
        <v>103</v>
      </c>
      <c r="E27" s="84"/>
      <c r="F27" s="84"/>
      <c r="G27" s="85"/>
      <c r="H27" s="1"/>
      <c r="I27" s="1"/>
    </row>
    <row r="28" spans="1:9" x14ac:dyDescent="0.25">
      <c r="A28" s="1"/>
      <c r="B28" s="1"/>
      <c r="C28" s="6" t="s">
        <v>83</v>
      </c>
      <c r="D28" s="83" t="s">
        <v>32</v>
      </c>
      <c r="E28" s="84"/>
      <c r="F28" s="84"/>
      <c r="G28" s="85"/>
      <c r="H28" s="1"/>
      <c r="I28" s="1"/>
    </row>
    <row r="29" spans="1:9" x14ac:dyDescent="0.25">
      <c r="A29" s="1"/>
      <c r="B29" s="1"/>
      <c r="C29" s="6" t="s">
        <v>175</v>
      </c>
      <c r="D29" s="91" t="s">
        <v>84</v>
      </c>
      <c r="E29" s="92"/>
      <c r="F29" s="92"/>
      <c r="G29" s="9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Dbtdfh28UNE3YsEO80mRGraamd6HRokOuzgh6Hj5EgCV4exjlUC/yqbeHLnoakU16hNOvGTJ9sUb7o4ZFHErhg==" saltValue="O0icUSHwqp3e3U5clm7wdw=="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4"/>
  <sheetViews>
    <sheetView showGridLines="0" view="pageLayout" zoomScaleNormal="100" workbookViewId="0">
      <selection activeCell="C18" sqref="C18"/>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7" t="s">
        <v>92</v>
      </c>
      <c r="C3" s="97"/>
      <c r="D3" s="97"/>
      <c r="E3" s="1"/>
      <c r="F3" s="1"/>
    </row>
    <row r="4" spans="1:6" ht="15" customHeight="1" x14ac:dyDescent="0.25">
      <c r="A4" s="1"/>
      <c r="B4" s="97"/>
      <c r="C4" s="97"/>
      <c r="D4" s="97"/>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7" t="s">
        <v>226</v>
      </c>
      <c r="C8" s="108"/>
      <c r="D8" s="109"/>
      <c r="E8" s="1"/>
      <c r="F8" s="1"/>
    </row>
    <row r="9" spans="1:6" ht="15" customHeight="1" x14ac:dyDescent="0.25">
      <c r="A9" s="1"/>
      <c r="B9" s="32" t="s">
        <v>28</v>
      </c>
      <c r="C9" s="11" t="s">
        <v>212</v>
      </c>
      <c r="D9" s="11"/>
      <c r="E9" s="1"/>
      <c r="F9" s="1"/>
    </row>
    <row r="10" spans="1:6" ht="15" customHeight="1" x14ac:dyDescent="0.25">
      <c r="A10" s="1"/>
      <c r="B10" s="71" t="s">
        <v>243</v>
      </c>
      <c r="C10" s="9">
        <v>16967240</v>
      </c>
      <c r="D10" s="14" t="s">
        <v>3</v>
      </c>
      <c r="E10" s="1"/>
      <c r="F10" s="1"/>
    </row>
    <row r="11" spans="1:6" x14ac:dyDescent="0.25">
      <c r="A11" s="1"/>
      <c r="B11" s="71" t="s">
        <v>244</v>
      </c>
      <c r="C11" s="9">
        <v>103824</v>
      </c>
      <c r="D11" s="14" t="s">
        <v>3</v>
      </c>
      <c r="E11" s="1"/>
      <c r="F11" s="1"/>
    </row>
    <row r="12" spans="1:6" ht="26.25" x14ac:dyDescent="0.25">
      <c r="A12" s="1"/>
      <c r="B12" s="54" t="s">
        <v>245</v>
      </c>
      <c r="C12" s="9">
        <v>6090259.7999999998</v>
      </c>
      <c r="D12" s="14" t="s">
        <v>3</v>
      </c>
      <c r="E12" s="1"/>
      <c r="F12" s="1"/>
    </row>
    <row r="13" spans="1:6" x14ac:dyDescent="0.25">
      <c r="A13" s="1"/>
      <c r="B13" s="71" t="s">
        <v>246</v>
      </c>
      <c r="C13" s="9">
        <v>10687.35</v>
      </c>
      <c r="D13" s="14" t="s">
        <v>3</v>
      </c>
      <c r="E13" s="1"/>
      <c r="F13" s="1"/>
    </row>
    <row r="14" spans="1:6" x14ac:dyDescent="0.25">
      <c r="A14" s="1"/>
      <c r="B14" s="71" t="s">
        <v>247</v>
      </c>
      <c r="C14" s="9">
        <v>419584.68</v>
      </c>
      <c r="D14" s="14" t="s">
        <v>3</v>
      </c>
      <c r="E14" s="1"/>
      <c r="F14" s="1"/>
    </row>
    <row r="15" spans="1:6" ht="29.25" customHeight="1" x14ac:dyDescent="0.25">
      <c r="A15" s="1"/>
      <c r="B15" s="54" t="s">
        <v>280</v>
      </c>
      <c r="C15" s="9">
        <v>11217</v>
      </c>
      <c r="D15" s="14" t="s">
        <v>3</v>
      </c>
      <c r="E15" s="1"/>
      <c r="F15" s="1"/>
    </row>
    <row r="16" spans="1:6" ht="26.25" x14ac:dyDescent="0.25">
      <c r="A16" s="1"/>
      <c r="B16" s="54" t="s">
        <v>281</v>
      </c>
      <c r="C16" s="9">
        <v>73395</v>
      </c>
      <c r="D16" s="14" t="s">
        <v>3</v>
      </c>
      <c r="E16" s="1"/>
      <c r="F16" s="1"/>
    </row>
    <row r="17" spans="1:6" ht="26.25" x14ac:dyDescent="0.25">
      <c r="A17" s="1"/>
      <c r="B17" s="54" t="s">
        <v>282</v>
      </c>
      <c r="C17" s="9">
        <v>37832</v>
      </c>
      <c r="D17" s="14" t="s">
        <v>3</v>
      </c>
      <c r="E17" s="1"/>
      <c r="F17" s="1"/>
    </row>
    <row r="18" spans="1:6" x14ac:dyDescent="0.25">
      <c r="A18" s="1"/>
      <c r="B18" s="51" t="s">
        <v>213</v>
      </c>
      <c r="C18" s="12">
        <f>SUM(C10:C17)</f>
        <v>23714039.830000002</v>
      </c>
      <c r="D18" s="13" t="s">
        <v>3</v>
      </c>
      <c r="E18" s="1"/>
      <c r="F18" s="1"/>
    </row>
    <row r="19" spans="1:6" x14ac:dyDescent="0.25">
      <c r="A19" s="1"/>
      <c r="B19" s="51" t="s">
        <v>214</v>
      </c>
      <c r="C19" s="12">
        <f>C18*(1+'Fane 13. Nøgletal'!C16)^2</f>
        <v>27701049.095523734</v>
      </c>
      <c r="D19" s="13" t="s">
        <v>3</v>
      </c>
      <c r="E19" s="1"/>
      <c r="F19" s="1"/>
    </row>
    <row r="20" spans="1:6" x14ac:dyDescent="0.25">
      <c r="A20" s="1"/>
      <c r="B20" s="16"/>
      <c r="C20" s="15"/>
      <c r="D20" s="15"/>
      <c r="E20" s="1"/>
      <c r="F20" s="1"/>
    </row>
    <row r="21" spans="1:6" x14ac:dyDescent="0.25">
      <c r="A21" s="1"/>
      <c r="B21" s="16"/>
      <c r="C21" s="15"/>
      <c r="D21" s="15"/>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44"/>
      <c r="B48" s="44"/>
      <c r="C48" s="44"/>
      <c r="D48" s="44"/>
      <c r="E48" s="44"/>
      <c r="F48" s="44"/>
    </row>
    <row r="49" spans="1:6" x14ac:dyDescent="0.25">
      <c r="A49" s="44"/>
      <c r="B49" s="44"/>
      <c r="C49" s="44"/>
      <c r="D49" s="44"/>
      <c r="E49" s="44"/>
      <c r="F49" s="44"/>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sheetData>
  <sheetProtection algorithmName="SHA-512" hashValue="pviaLXjilemofWamj7w9YVPtdRptjrchne9wjnefn4ntycY+C5TZaZSEt2kalXy4BP+8E7PF1Lxobp2rtMp95A==" saltValue="7t1C5RVzRRNZyuJLFcv3L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8EC75-BE29-4AB1-814E-1270BC418A8E}">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00" t="s">
        <v>227</v>
      </c>
      <c r="C3" s="100"/>
      <c r="D3" s="100"/>
      <c r="E3" s="100"/>
      <c r="F3" s="100"/>
      <c r="G3" s="1"/>
    </row>
    <row r="4" spans="1:7" ht="15" customHeight="1" x14ac:dyDescent="0.25">
      <c r="A4" s="1"/>
      <c r="B4" s="100"/>
      <c r="C4" s="100"/>
      <c r="D4" s="100"/>
      <c r="E4" s="100"/>
      <c r="F4" s="100"/>
      <c r="G4" s="1"/>
    </row>
    <row r="5" spans="1:7" ht="15" customHeight="1" x14ac:dyDescent="0.25">
      <c r="A5" s="1"/>
      <c r="B5" s="64"/>
      <c r="C5" s="64"/>
      <c r="D5" s="64"/>
      <c r="E5" s="64"/>
      <c r="F5" s="64"/>
      <c r="G5" s="1"/>
    </row>
    <row r="6" spans="1:7" ht="15" customHeight="1" x14ac:dyDescent="0.25">
      <c r="A6" s="1"/>
      <c r="B6" s="1"/>
      <c r="C6" s="58"/>
      <c r="D6" s="59"/>
      <c r="E6" s="64"/>
      <c r="F6" s="64"/>
      <c r="G6" s="1"/>
    </row>
    <row r="7" spans="1:7" x14ac:dyDescent="0.25">
      <c r="A7" s="1"/>
      <c r="B7" s="1"/>
      <c r="C7" s="1"/>
      <c r="D7" s="1"/>
      <c r="E7" s="60"/>
      <c r="F7" s="1"/>
      <c r="G7" s="1"/>
    </row>
    <row r="8" spans="1:7" x14ac:dyDescent="0.25">
      <c r="A8" s="1"/>
      <c r="B8" s="107" t="s">
        <v>265</v>
      </c>
      <c r="C8" s="108"/>
      <c r="D8" s="108"/>
      <c r="E8" s="108"/>
      <c r="F8" s="109"/>
      <c r="G8" s="1"/>
    </row>
    <row r="9" spans="1:7" x14ac:dyDescent="0.25">
      <c r="A9" s="1"/>
      <c r="B9" s="101" t="s">
        <v>266</v>
      </c>
      <c r="C9" s="102"/>
      <c r="D9" s="103"/>
      <c r="E9" s="28">
        <v>1021602</v>
      </c>
      <c r="F9" s="14" t="s">
        <v>3</v>
      </c>
      <c r="G9" s="1"/>
    </row>
    <row r="10" spans="1:7" x14ac:dyDescent="0.25">
      <c r="A10" s="1"/>
      <c r="B10" s="51"/>
      <c r="C10" s="52"/>
      <c r="D10" s="52"/>
      <c r="E10" s="52"/>
      <c r="F10" s="19"/>
      <c r="G10" s="1"/>
    </row>
    <row r="11" spans="1:7" ht="53.25" customHeight="1" x14ac:dyDescent="0.25">
      <c r="A11" s="1"/>
      <c r="B11" s="119" t="s">
        <v>267</v>
      </c>
      <c r="C11" s="120"/>
      <c r="D11" s="120"/>
      <c r="E11" s="120"/>
      <c r="F11" s="121"/>
      <c r="G11" s="1"/>
    </row>
    <row r="12" spans="1:7" x14ac:dyDescent="0.25">
      <c r="A12" s="1"/>
      <c r="B12" s="1"/>
      <c r="C12" s="1"/>
      <c r="D12" s="1"/>
      <c r="E12" s="1"/>
      <c r="F12" s="1"/>
      <c r="G12" s="1"/>
    </row>
    <row r="13" spans="1:7" x14ac:dyDescent="0.25">
      <c r="A13" s="1"/>
      <c r="B13" s="107" t="s">
        <v>140</v>
      </c>
      <c r="C13" s="108"/>
      <c r="D13" s="108"/>
      <c r="E13" s="108"/>
      <c r="F13" s="109"/>
      <c r="G13" s="1"/>
    </row>
    <row r="14" spans="1:7" x14ac:dyDescent="0.25">
      <c r="A14" s="1"/>
      <c r="B14" s="101" t="s">
        <v>268</v>
      </c>
      <c r="C14" s="102"/>
      <c r="D14" s="103"/>
      <c r="E14" s="9">
        <v>0</v>
      </c>
      <c r="F14" s="14" t="s">
        <v>3</v>
      </c>
      <c r="G14" s="1"/>
    </row>
    <row r="15" spans="1:7" x14ac:dyDescent="0.25">
      <c r="A15" s="1"/>
      <c r="B15" s="101" t="s">
        <v>269</v>
      </c>
      <c r="C15" s="102"/>
      <c r="D15" s="103"/>
      <c r="E15" s="9">
        <v>0</v>
      </c>
      <c r="F15" s="14" t="s">
        <v>3</v>
      </c>
      <c r="G15" s="1"/>
    </row>
    <row r="16" spans="1:7" x14ac:dyDescent="0.25">
      <c r="A16" s="1"/>
      <c r="B16" s="51"/>
      <c r="C16" s="52"/>
      <c r="D16" s="52"/>
      <c r="E16" s="52"/>
      <c r="F16" s="19"/>
      <c r="G16" s="1"/>
    </row>
    <row r="17" spans="1:7" ht="32.25" customHeight="1" x14ac:dyDescent="0.25">
      <c r="A17" s="1"/>
      <c r="B17" s="119" t="s">
        <v>270</v>
      </c>
      <c r="C17" s="120"/>
      <c r="D17" s="120"/>
      <c r="E17" s="120"/>
      <c r="F17" s="121"/>
      <c r="G17" s="1"/>
    </row>
    <row r="18" spans="1:7" x14ac:dyDescent="0.25">
      <c r="A18" s="1"/>
      <c r="B18" s="1"/>
      <c r="C18" s="1"/>
      <c r="D18" s="1"/>
      <c r="E18" s="1"/>
      <c r="F18" s="1"/>
      <c r="G18" s="1"/>
    </row>
    <row r="19" spans="1:7" x14ac:dyDescent="0.25">
      <c r="A19" s="1"/>
      <c r="B19" s="65" t="s">
        <v>271</v>
      </c>
      <c r="C19" s="66"/>
      <c r="D19" s="66"/>
      <c r="E19" s="66"/>
      <c r="F19" s="67"/>
      <c r="G19" s="1"/>
    </row>
    <row r="20" spans="1:7" x14ac:dyDescent="0.25">
      <c r="A20" s="1"/>
      <c r="B20" s="68" t="s">
        <v>272</v>
      </c>
      <c r="C20" s="69"/>
      <c r="D20" s="70"/>
      <c r="E20" s="9">
        <v>33161594</v>
      </c>
      <c r="F20" s="14" t="s">
        <v>3</v>
      </c>
      <c r="G20" s="1"/>
    </row>
    <row r="21" spans="1:7" x14ac:dyDescent="0.25">
      <c r="A21" s="1"/>
      <c r="B21" s="68" t="s">
        <v>273</v>
      </c>
      <c r="C21" s="69"/>
      <c r="D21" s="70"/>
      <c r="E21" s="9">
        <v>39703934</v>
      </c>
      <c r="F21" s="14" t="s">
        <v>3</v>
      </c>
      <c r="G21" s="1"/>
    </row>
    <row r="22" spans="1:7" x14ac:dyDescent="0.25">
      <c r="A22" s="1"/>
      <c r="B22" s="68" t="s">
        <v>29</v>
      </c>
      <c r="C22" s="69"/>
      <c r="D22" s="70"/>
      <c r="E22" s="9">
        <v>0</v>
      </c>
      <c r="F22" s="14" t="s">
        <v>3</v>
      </c>
      <c r="G22" s="1"/>
    </row>
    <row r="23" spans="1:7" x14ac:dyDescent="0.25">
      <c r="A23" s="1"/>
      <c r="B23" s="73" t="s">
        <v>274</v>
      </c>
      <c r="C23" s="74"/>
      <c r="D23" s="75"/>
      <c r="E23" s="10">
        <f>E20-(E21-E22)</f>
        <v>-6542340</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7" t="s">
        <v>275</v>
      </c>
      <c r="C26" s="108"/>
      <c r="D26" s="108"/>
      <c r="E26" s="108"/>
      <c r="F26" s="109"/>
      <c r="G26" s="1"/>
    </row>
    <row r="27" spans="1:7" x14ac:dyDescent="0.25">
      <c r="A27" s="1"/>
      <c r="B27" s="129" t="s">
        <v>276</v>
      </c>
      <c r="C27" s="130"/>
      <c r="D27" s="131"/>
      <c r="E27" s="61">
        <f>IF(AND(E15&lt;0,E23&gt;0,ABS(SUM(E14:E15))&lt;E23),ABS(E14),IF(AND(E15&lt;0,E23&gt;0,ABS(SUM(E14:E15))&gt;E23),SUM(E14,E23),0))</f>
        <v>0</v>
      </c>
      <c r="F27" s="17" t="s">
        <v>3</v>
      </c>
      <c r="G27" s="1"/>
    </row>
    <row r="28" spans="1:7" x14ac:dyDescent="0.25">
      <c r="A28" s="1"/>
      <c r="B28" s="107"/>
      <c r="C28" s="108"/>
      <c r="D28" s="108"/>
      <c r="E28" s="108"/>
      <c r="F28" s="109"/>
      <c r="G28" s="1"/>
    </row>
    <row r="29" spans="1:7" x14ac:dyDescent="0.25">
      <c r="A29" s="1"/>
      <c r="B29" s="1"/>
      <c r="C29" s="1"/>
      <c r="D29" s="1"/>
      <c r="E29" s="1"/>
      <c r="F29" s="1"/>
      <c r="G29" s="1"/>
    </row>
    <row r="30" spans="1:7" x14ac:dyDescent="0.25">
      <c r="A30" s="1"/>
      <c r="B30" s="107" t="s">
        <v>277</v>
      </c>
      <c r="C30" s="108"/>
      <c r="D30" s="108"/>
      <c r="E30" s="108"/>
      <c r="F30" s="109"/>
      <c r="G30" s="1"/>
    </row>
    <row r="31" spans="1:7" x14ac:dyDescent="0.25">
      <c r="A31" s="1"/>
      <c r="B31" s="122" t="s">
        <v>117</v>
      </c>
      <c r="C31" s="123"/>
      <c r="D31" s="124"/>
      <c r="E31" s="62">
        <f>IF(AND(E9&gt;0,(E9+E23)&gt;0),0,IF(AND(E9&gt;0,(E9+E23)&lt;0),(E9+E23),IF(AND(E9&lt;0,E23&lt;0),E23,0)))</f>
        <v>-5520738</v>
      </c>
      <c r="F31" s="14" t="s">
        <v>3</v>
      </c>
      <c r="G31" s="1"/>
    </row>
    <row r="32" spans="1:7" x14ac:dyDescent="0.25">
      <c r="A32" s="1"/>
      <c r="B32" s="122" t="s">
        <v>85</v>
      </c>
      <c r="C32" s="123"/>
      <c r="D32" s="124"/>
      <c r="E32" s="9">
        <v>2</v>
      </c>
      <c r="F32" s="14" t="s">
        <v>18</v>
      </c>
      <c r="G32" s="1"/>
    </row>
    <row r="33" spans="1:7" x14ac:dyDescent="0.25">
      <c r="A33" s="1"/>
      <c r="B33" s="125" t="s">
        <v>116</v>
      </c>
      <c r="C33" s="125"/>
      <c r="D33" s="125"/>
      <c r="E33" s="61">
        <f>E31/E32</f>
        <v>-2760369</v>
      </c>
      <c r="F33" s="17" t="s">
        <v>3</v>
      </c>
      <c r="G33" s="1"/>
    </row>
    <row r="34" spans="1:7" x14ac:dyDescent="0.25">
      <c r="A34" s="1"/>
      <c r="B34" s="126"/>
      <c r="C34" s="127"/>
      <c r="D34" s="127"/>
      <c r="E34" s="127"/>
      <c r="F34" s="128"/>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p+qAqlztKw9H+GScRyl6idTroIlJymCBgtLLRxgJc9X5f/wOho5UfSj/pM62RY5J1nXs1ESemy+10AslndNtw==" saltValue="cuDr2L69fGLpvhkGJyWtpw==" spinCount="100000" sheet="1" objects="1" scenarios="1"/>
  <mergeCells count="16">
    <mergeCell ref="B31:D31"/>
    <mergeCell ref="B32:D32"/>
    <mergeCell ref="B33:D33"/>
    <mergeCell ref="B34:F34"/>
    <mergeCell ref="B15:D15"/>
    <mergeCell ref="B17:F17"/>
    <mergeCell ref="B26:F26"/>
    <mergeCell ref="B27:D27"/>
    <mergeCell ref="B28:F28"/>
    <mergeCell ref="B30:F30"/>
    <mergeCell ref="B14:D14"/>
    <mergeCell ref="B3:F4"/>
    <mergeCell ref="B8:F8"/>
    <mergeCell ref="B9:D9"/>
    <mergeCell ref="B11:F11"/>
    <mergeCell ref="B13:F1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7" t="s">
        <v>183</v>
      </c>
      <c r="C3" s="97"/>
      <c r="D3" s="97"/>
      <c r="E3" s="97"/>
      <c r="F3" s="97"/>
      <c r="G3" s="97"/>
      <c r="H3" s="97"/>
      <c r="I3" s="1"/>
    </row>
    <row r="4" spans="1:9" ht="15" customHeight="1" x14ac:dyDescent="0.25">
      <c r="A4" s="1"/>
      <c r="B4" s="97"/>
      <c r="C4" s="97"/>
      <c r="D4" s="97"/>
      <c r="E4" s="97"/>
      <c r="F4" s="97"/>
      <c r="G4" s="97"/>
      <c r="H4" s="97"/>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7" t="s">
        <v>184</v>
      </c>
      <c r="C8" s="108"/>
      <c r="D8" s="108"/>
      <c r="E8" s="108"/>
      <c r="F8" s="108"/>
      <c r="G8" s="108"/>
      <c r="H8" s="109"/>
      <c r="I8" s="1"/>
    </row>
    <row r="9" spans="1:9" ht="15" customHeight="1" x14ac:dyDescent="0.25">
      <c r="A9" s="1"/>
      <c r="B9" s="132" t="s">
        <v>234</v>
      </c>
      <c r="C9" s="133"/>
      <c r="D9" s="133"/>
      <c r="E9" s="133"/>
      <c r="F9" s="133"/>
      <c r="G9" s="133"/>
      <c r="H9" s="134"/>
      <c r="I9" s="1"/>
    </row>
    <row r="10" spans="1:9" x14ac:dyDescent="0.25">
      <c r="A10" s="1"/>
      <c r="B10" s="135" t="s">
        <v>185</v>
      </c>
      <c r="C10" s="136"/>
      <c r="D10" s="136"/>
      <c r="E10" s="136"/>
      <c r="F10" s="137"/>
      <c r="G10" s="45"/>
      <c r="H10" s="9" t="s">
        <v>3</v>
      </c>
      <c r="I10" s="1"/>
    </row>
    <row r="11" spans="1:9" x14ac:dyDescent="0.25">
      <c r="A11" s="1"/>
      <c r="B11" s="135" t="s">
        <v>186</v>
      </c>
      <c r="C11" s="136"/>
      <c r="D11" s="136"/>
      <c r="E11" s="136"/>
      <c r="F11" s="137"/>
      <c r="G11" s="45"/>
      <c r="H11" s="9" t="s">
        <v>3</v>
      </c>
      <c r="I11" s="1"/>
    </row>
    <row r="12" spans="1:9" x14ac:dyDescent="0.25">
      <c r="A12" s="1"/>
      <c r="B12" s="135" t="s">
        <v>187</v>
      </c>
      <c r="C12" s="136"/>
      <c r="D12" s="136"/>
      <c r="E12" s="136"/>
      <c r="F12" s="137"/>
      <c r="G12" s="9"/>
      <c r="H12" s="9" t="s">
        <v>3</v>
      </c>
      <c r="I12" s="1"/>
    </row>
    <row r="13" spans="1:9" x14ac:dyDescent="0.25">
      <c r="A13" s="1"/>
      <c r="B13" s="135" t="s">
        <v>188</v>
      </c>
      <c r="C13" s="136"/>
      <c r="D13" s="136"/>
      <c r="E13" s="136"/>
      <c r="F13" s="137"/>
      <c r="G13" s="9"/>
      <c r="H13" s="9" t="s">
        <v>3</v>
      </c>
      <c r="I13" s="1"/>
    </row>
    <row r="14" spans="1:9" x14ac:dyDescent="0.25">
      <c r="A14" s="1"/>
      <c r="B14" s="135" t="s">
        <v>189</v>
      </c>
      <c r="C14" s="136"/>
      <c r="D14" s="136"/>
      <c r="E14" s="136"/>
      <c r="F14" s="137"/>
      <c r="G14" s="9"/>
      <c r="H14" s="9" t="s">
        <v>3</v>
      </c>
      <c r="I14" s="1"/>
    </row>
    <row r="15" spans="1:9" x14ac:dyDescent="0.25">
      <c r="A15" s="1"/>
      <c r="B15" s="135" t="s">
        <v>190</v>
      </c>
      <c r="C15" s="136"/>
      <c r="D15" s="136"/>
      <c r="E15" s="136"/>
      <c r="F15" s="137"/>
      <c r="G15" s="9"/>
      <c r="H15" s="9" t="s">
        <v>3</v>
      </c>
      <c r="I15" s="1"/>
    </row>
    <row r="16" spans="1:9" x14ac:dyDescent="0.25">
      <c r="A16" s="1"/>
      <c r="B16" s="135" t="s">
        <v>191</v>
      </c>
      <c r="C16" s="136"/>
      <c r="D16" s="136"/>
      <c r="E16" s="136"/>
      <c r="F16" s="137"/>
      <c r="G16" s="9"/>
      <c r="H16" s="9" t="s">
        <v>3</v>
      </c>
      <c r="I16" s="1"/>
    </row>
    <row r="17" spans="1:9" x14ac:dyDescent="0.25">
      <c r="A17" s="1"/>
      <c r="B17" s="135" t="s">
        <v>192</v>
      </c>
      <c r="C17" s="136"/>
      <c r="D17" s="136"/>
      <c r="E17" s="136"/>
      <c r="F17" s="137"/>
      <c r="G17" s="9"/>
      <c r="H17" s="9" t="s">
        <v>3</v>
      </c>
      <c r="I17" s="1"/>
    </row>
    <row r="18" spans="1:9" x14ac:dyDescent="0.25">
      <c r="A18" s="1"/>
      <c r="B18" s="107" t="s">
        <v>193</v>
      </c>
      <c r="C18" s="108"/>
      <c r="D18" s="108"/>
      <c r="E18" s="108"/>
      <c r="F18" s="109"/>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cbn2zPJZ/AqbAqJz5YkFXHXOsWeW2u1ru9TraBmboUOcMpYRETdvbkeHkSwz2dyE4JPYsYAFeSrbTOctGNCuSQ==" saltValue="a7EBPCVneui/9sekKwX0yg=="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7" t="s">
        <v>177</v>
      </c>
      <c r="C3" s="97"/>
      <c r="D3" s="97"/>
      <c r="E3" s="97"/>
      <c r="F3" s="97"/>
      <c r="G3" s="97"/>
      <c r="H3" s="97"/>
      <c r="I3" s="97"/>
      <c r="J3" s="97"/>
      <c r="K3" s="97"/>
      <c r="L3" s="1"/>
    </row>
    <row r="4" spans="1:12" ht="15" customHeight="1" x14ac:dyDescent="0.25">
      <c r="A4" s="1"/>
      <c r="B4" s="97"/>
      <c r="C4" s="97"/>
      <c r="D4" s="97"/>
      <c r="E4" s="97"/>
      <c r="F4" s="97"/>
      <c r="G4" s="97"/>
      <c r="H4" s="97"/>
      <c r="I4" s="97"/>
      <c r="J4" s="97"/>
      <c r="K4" s="97"/>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155</v>
      </c>
      <c r="C8" s="108"/>
      <c r="D8" s="108"/>
      <c r="E8" s="108"/>
      <c r="F8" s="108"/>
      <c r="G8" s="108"/>
      <c r="H8" s="108"/>
      <c r="I8" s="108"/>
      <c r="J8" s="108"/>
      <c r="K8" s="109"/>
      <c r="L8" s="1"/>
    </row>
    <row r="9" spans="1:12" ht="39.75" customHeight="1" x14ac:dyDescent="0.25">
      <c r="A9" s="1"/>
      <c r="B9" s="18" t="s">
        <v>0</v>
      </c>
      <c r="C9" s="18" t="s">
        <v>1</v>
      </c>
      <c r="D9" s="138" t="s">
        <v>170</v>
      </c>
      <c r="E9" s="139"/>
      <c r="F9" s="138" t="s">
        <v>2</v>
      </c>
      <c r="G9" s="139"/>
      <c r="H9" s="138" t="s">
        <v>171</v>
      </c>
      <c r="I9" s="139"/>
      <c r="J9" s="138" t="s">
        <v>26</v>
      </c>
      <c r="K9" s="139"/>
      <c r="L9" s="1"/>
    </row>
    <row r="10" spans="1:12" x14ac:dyDescent="0.25">
      <c r="A10" s="1"/>
      <c r="B10" s="78"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67"/>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PMdTnxcgi/LdFqtyTl6GDHU5kTkw22daDS3u0QmkFHFKbyjmKvwDfUIQnqpu3Sc71p/FRYJHKhiQOjsSLHcixg==" saltValue="EsBqVfatqy0ij6SLT/qJiw=="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8"/>
  <sheetViews>
    <sheetView showGridLines="0" view="pageLayout" zoomScaleNormal="100" workbookViewId="0">
      <selection activeCell="E29" sqref="E29"/>
    </sheetView>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178</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6" t="s">
        <v>15</v>
      </c>
      <c r="C9" s="76" t="s">
        <v>10</v>
      </c>
      <c r="D9" s="77"/>
      <c r="E9" s="76"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248</v>
      </c>
      <c r="C11" s="21">
        <v>269286</v>
      </c>
      <c r="D11" s="14" t="s">
        <v>3</v>
      </c>
      <c r="E11" s="9">
        <v>259207</v>
      </c>
      <c r="F11" s="14" t="s">
        <v>3</v>
      </c>
      <c r="G11" s="1"/>
    </row>
    <row r="12" spans="1:7" x14ac:dyDescent="0.25">
      <c r="A12" s="1"/>
      <c r="B12" s="27" t="s">
        <v>249</v>
      </c>
      <c r="C12" s="21">
        <v>86715</v>
      </c>
      <c r="D12" s="14" t="s">
        <v>3</v>
      </c>
      <c r="E12" s="9">
        <v>46638</v>
      </c>
      <c r="F12" s="14" t="s">
        <v>3</v>
      </c>
      <c r="G12" s="1"/>
    </row>
    <row r="13" spans="1:7" x14ac:dyDescent="0.25">
      <c r="A13" s="1"/>
      <c r="B13" s="27" t="s">
        <v>250</v>
      </c>
      <c r="C13" s="21">
        <v>20543</v>
      </c>
      <c r="D13" s="14" t="s">
        <v>3</v>
      </c>
      <c r="E13" s="9">
        <v>6618</v>
      </c>
      <c r="F13" s="14" t="s">
        <v>3</v>
      </c>
      <c r="G13" s="1"/>
    </row>
    <row r="14" spans="1:7" x14ac:dyDescent="0.25">
      <c r="A14" s="1"/>
      <c r="B14" s="27" t="s">
        <v>251</v>
      </c>
      <c r="C14" s="21">
        <v>0</v>
      </c>
      <c r="D14" s="14" t="s">
        <v>3</v>
      </c>
      <c r="E14" s="9">
        <v>3416</v>
      </c>
      <c r="F14" s="14" t="s">
        <v>3</v>
      </c>
      <c r="G14" s="1"/>
    </row>
    <row r="15" spans="1:7" x14ac:dyDescent="0.25">
      <c r="A15" s="1"/>
      <c r="B15" s="27" t="s">
        <v>252</v>
      </c>
      <c r="C15" s="21">
        <v>14741</v>
      </c>
      <c r="D15" s="14" t="s">
        <v>3</v>
      </c>
      <c r="E15" s="9">
        <v>3414</v>
      </c>
      <c r="F15" s="14" t="s">
        <v>3</v>
      </c>
      <c r="G15" s="1"/>
    </row>
    <row r="16" spans="1:7" x14ac:dyDescent="0.25">
      <c r="A16" s="1"/>
      <c r="B16" s="27" t="s">
        <v>253</v>
      </c>
      <c r="C16" s="21">
        <v>0</v>
      </c>
      <c r="D16" s="14" t="s">
        <v>3</v>
      </c>
      <c r="E16" s="9">
        <v>999</v>
      </c>
      <c r="F16" s="14" t="s">
        <v>3</v>
      </c>
      <c r="G16" s="1"/>
    </row>
    <row r="17" spans="1:7" x14ac:dyDescent="0.25">
      <c r="A17" s="1"/>
      <c r="B17" s="27" t="s">
        <v>254</v>
      </c>
      <c r="C17" s="21">
        <v>0</v>
      </c>
      <c r="D17" s="14" t="s">
        <v>3</v>
      </c>
      <c r="E17" s="9">
        <v>65</v>
      </c>
      <c r="F17" s="14" t="s">
        <v>3</v>
      </c>
      <c r="G17" s="1"/>
    </row>
    <row r="18" spans="1:7" x14ac:dyDescent="0.25">
      <c r="A18" s="1"/>
      <c r="B18" s="27" t="s">
        <v>255</v>
      </c>
      <c r="C18" s="21">
        <v>0</v>
      </c>
      <c r="D18" s="14" t="s">
        <v>3</v>
      </c>
      <c r="E18" s="9">
        <v>13</v>
      </c>
      <c r="F18" s="14" t="s">
        <v>3</v>
      </c>
      <c r="G18" s="1"/>
    </row>
    <row r="19" spans="1:7" x14ac:dyDescent="0.25">
      <c r="A19" s="1"/>
      <c r="B19" s="27" t="s">
        <v>256</v>
      </c>
      <c r="C19" s="21">
        <v>3468</v>
      </c>
      <c r="D19" s="14" t="s">
        <v>3</v>
      </c>
      <c r="E19" s="9">
        <v>1355</v>
      </c>
      <c r="F19" s="14" t="s">
        <v>3</v>
      </c>
      <c r="G19" s="1"/>
    </row>
    <row r="20" spans="1:7" x14ac:dyDescent="0.25">
      <c r="A20" s="1"/>
      <c r="B20" s="27" t="s">
        <v>257</v>
      </c>
      <c r="C20" s="21">
        <v>22545</v>
      </c>
      <c r="D20" s="14" t="s">
        <v>3</v>
      </c>
      <c r="E20" s="9">
        <v>4675</v>
      </c>
      <c r="F20" s="14" t="s">
        <v>3</v>
      </c>
      <c r="G20" s="1"/>
    </row>
    <row r="21" spans="1:7" x14ac:dyDescent="0.25">
      <c r="A21" s="1"/>
      <c r="B21" s="27" t="s">
        <v>258</v>
      </c>
      <c r="C21" s="21">
        <v>0</v>
      </c>
      <c r="D21" s="14" t="s">
        <v>3</v>
      </c>
      <c r="E21" s="9">
        <v>60</v>
      </c>
      <c r="F21" s="14" t="s">
        <v>3</v>
      </c>
      <c r="G21" s="1"/>
    </row>
    <row r="22" spans="1:7" x14ac:dyDescent="0.25">
      <c r="A22" s="1"/>
      <c r="B22" s="27" t="s">
        <v>259</v>
      </c>
      <c r="C22" s="21">
        <v>1318</v>
      </c>
      <c r="D22" s="14" t="s">
        <v>3</v>
      </c>
      <c r="E22" s="9">
        <v>1596</v>
      </c>
      <c r="F22" s="14" t="s">
        <v>3</v>
      </c>
      <c r="G22" s="1"/>
    </row>
    <row r="23" spans="1:7" x14ac:dyDescent="0.25">
      <c r="A23" s="1"/>
      <c r="B23" s="27" t="s">
        <v>260</v>
      </c>
      <c r="C23" s="21">
        <v>9980</v>
      </c>
      <c r="D23" s="14" t="s">
        <v>3</v>
      </c>
      <c r="E23" s="9">
        <v>6663</v>
      </c>
      <c r="F23" s="14" t="s">
        <v>3</v>
      </c>
      <c r="G23" s="1"/>
    </row>
    <row r="24" spans="1:7" x14ac:dyDescent="0.25">
      <c r="A24" s="1"/>
      <c r="B24" s="27" t="s">
        <v>261</v>
      </c>
      <c r="C24" s="21">
        <v>64167</v>
      </c>
      <c r="D24" s="14" t="s">
        <v>3</v>
      </c>
      <c r="E24" s="9">
        <v>9483</v>
      </c>
      <c r="F24" s="14" t="s">
        <v>3</v>
      </c>
      <c r="G24" s="1"/>
    </row>
    <row r="25" spans="1:7" x14ac:dyDescent="0.25">
      <c r="A25" s="1"/>
      <c r="B25" s="27" t="s">
        <v>262</v>
      </c>
      <c r="C25" s="21">
        <v>18210</v>
      </c>
      <c r="D25" s="14" t="s">
        <v>3</v>
      </c>
      <c r="E25" s="9">
        <v>14754</v>
      </c>
      <c r="F25" s="14" t="s">
        <v>3</v>
      </c>
      <c r="G25" s="1"/>
    </row>
    <row r="26" spans="1:7" x14ac:dyDescent="0.25">
      <c r="A26" s="1"/>
      <c r="B26" s="27" t="s">
        <v>263</v>
      </c>
      <c r="C26" s="21">
        <v>10912</v>
      </c>
      <c r="D26" s="14" t="s">
        <v>3</v>
      </c>
      <c r="E26" s="9">
        <v>2556</v>
      </c>
      <c r="F26" s="14" t="s">
        <v>3</v>
      </c>
      <c r="G26" s="1"/>
    </row>
    <row r="27" spans="1:7" x14ac:dyDescent="0.25">
      <c r="A27" s="1"/>
      <c r="B27" s="27" t="s">
        <v>283</v>
      </c>
      <c r="C27" s="21">
        <v>22963</v>
      </c>
      <c r="D27" s="14" t="s">
        <v>3</v>
      </c>
      <c r="E27" s="9">
        <v>14028.603771210703</v>
      </c>
      <c r="F27" s="14" t="s">
        <v>3</v>
      </c>
      <c r="G27" s="1"/>
    </row>
    <row r="28" spans="1:7" x14ac:dyDescent="0.25">
      <c r="A28" s="1"/>
      <c r="B28" s="27" t="s">
        <v>284</v>
      </c>
      <c r="C28" s="21">
        <v>79327</v>
      </c>
      <c r="D28" s="14" t="s">
        <v>3</v>
      </c>
      <c r="E28" s="9">
        <v>70538.790974365314</v>
      </c>
      <c r="F28" s="14" t="s">
        <v>3</v>
      </c>
      <c r="G28" s="1"/>
    </row>
    <row r="29" spans="1:7" x14ac:dyDescent="0.25">
      <c r="A29" s="1"/>
      <c r="B29" s="51" t="s">
        <v>151</v>
      </c>
      <c r="C29" s="12">
        <f>SUM(C10:C28)</f>
        <v>624175</v>
      </c>
      <c r="D29" s="13" t="s">
        <v>3</v>
      </c>
      <c r="E29" s="12">
        <f>SUM(E10:E28)</f>
        <v>446079.39474557602</v>
      </c>
      <c r="F29" s="13" t="s">
        <v>3</v>
      </c>
      <c r="G29" s="1"/>
    </row>
    <row r="30" spans="1:7" x14ac:dyDescent="0.25">
      <c r="A30" s="1"/>
      <c r="B30" s="51" t="s">
        <v>209</v>
      </c>
      <c r="C30" s="12">
        <f>C29*(1+'Fane 13. Nøgletal'!C16)</f>
        <v>674608.34</v>
      </c>
      <c r="D30" s="13" t="s">
        <v>3</v>
      </c>
      <c r="E30" s="12">
        <f>E29*(1+'Fane 13. Nøgletal'!C16)</f>
        <v>482122.60984101857</v>
      </c>
      <c r="F30" s="13" t="s">
        <v>3</v>
      </c>
      <c r="G30" s="1"/>
    </row>
    <row r="31" spans="1:7" x14ac:dyDescent="0.25">
      <c r="A31" s="1"/>
      <c r="B31" s="1"/>
      <c r="C31" s="1" t="s">
        <v>168</v>
      </c>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1"/>
      <c r="B51" s="1"/>
      <c r="C51" s="1"/>
      <c r="D51" s="1"/>
      <c r="E51" s="1"/>
      <c r="F51" s="1"/>
      <c r="G51" s="1"/>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row r="58" spans="1:7" x14ac:dyDescent="0.25">
      <c r="A58" s="44"/>
      <c r="B58" s="44"/>
      <c r="C58" s="44"/>
      <c r="D58" s="44"/>
      <c r="E58" s="44"/>
      <c r="F58" s="44"/>
      <c r="G58" s="44"/>
    </row>
  </sheetData>
  <sheetProtection algorithmName="SHA-512" hashValue="FGOdhxj2oBawHvjfs529/f7NRg5i9MnJ/GZYnIETNe0ZNEwtih8x/a0eH4BUqy/1SRc/vuvVGDlIXMRVaXZU8Q==" saltValue="AlvjJXfAuFVI+i1aLWZsww=="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7" t="s">
        <v>179</v>
      </c>
      <c r="C3" s="97"/>
      <c r="D3" s="97"/>
      <c r="E3" s="97"/>
      <c r="F3" s="97"/>
      <c r="G3" s="1"/>
    </row>
    <row r="4" spans="1:7" ht="15" customHeight="1" x14ac:dyDescent="0.25">
      <c r="A4" s="1"/>
      <c r="B4" s="97"/>
      <c r="C4" s="97"/>
      <c r="D4" s="97"/>
      <c r="E4" s="97"/>
      <c r="F4" s="9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7" t="s">
        <v>217</v>
      </c>
      <c r="C9" s="108"/>
      <c r="D9" s="108"/>
      <c r="E9" s="108"/>
      <c r="F9" s="109"/>
      <c r="G9" s="1"/>
    </row>
    <row r="10" spans="1:7" ht="26.25" x14ac:dyDescent="0.25">
      <c r="A10" s="1"/>
      <c r="B10" s="76" t="s">
        <v>15</v>
      </c>
      <c r="C10" s="76" t="s">
        <v>10</v>
      </c>
      <c r="D10" s="77"/>
      <c r="E10" s="76" t="s">
        <v>27</v>
      </c>
      <c r="F10" s="30"/>
      <c r="G10" s="1"/>
    </row>
    <row r="11" spans="1:7" x14ac:dyDescent="0.25">
      <c r="A11" s="1"/>
      <c r="B11" s="23" t="s">
        <v>264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ZoAFdHrh53PqyoviM7AkfCXakxlL3qnTmi2zL6R1glk0qqDsoftMGHDQt8bxNcHGX0gvv65izOQ4+Y26TLeRbw==" saltValue="YL81zCJn1HxbBu++HREC9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180</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104</v>
      </c>
      <c r="C8" s="108"/>
      <c r="D8" s="108"/>
      <c r="E8" s="108"/>
      <c r="F8" s="109"/>
      <c r="G8" s="1"/>
    </row>
    <row r="9" spans="1:7" ht="15" customHeight="1" x14ac:dyDescent="0.25">
      <c r="A9" s="1"/>
      <c r="B9" s="53" t="s">
        <v>105</v>
      </c>
      <c r="C9" s="132" t="s">
        <v>10</v>
      </c>
      <c r="D9" s="134"/>
      <c r="E9" s="132" t="s">
        <v>27</v>
      </c>
      <c r="F9" s="134"/>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Ij9YqvWBL7bjO+8PmsKoOnABbcUKy5WGsmouAAp/iUQvh3DFb+mmayAulH2c3cSvDTdhufD3HenRYTW8rnvPHw==" saltValue="XQGqvrbr8qWXSO7L9j+F9A=="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0" t="s">
        <v>181</v>
      </c>
      <c r="C3" s="100"/>
      <c r="D3" s="100"/>
      <c r="E3" s="100"/>
      <c r="F3" s="100"/>
      <c r="G3" s="1"/>
    </row>
    <row r="4" spans="1:7" ht="25.5" customHeight="1" x14ac:dyDescent="0.25">
      <c r="A4" s="1"/>
      <c r="B4" s="100"/>
      <c r="C4" s="100"/>
      <c r="D4" s="100"/>
      <c r="E4" s="100"/>
      <c r="F4" s="100"/>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7" t="s">
        <v>237</v>
      </c>
      <c r="C10" s="108"/>
      <c r="D10" s="108"/>
      <c r="E10" s="108"/>
      <c r="F10" s="109"/>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PEdhsOusSJ9o3MfojcCSji7A4+br0tkygJmk+yEN5JXdQQcsGO1XWHTSKl/pbEbLT1Xuso3PyElED7Iq0dBCTw==" saltValue="C5AApMOfPucffDGBIcWH0Q=="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100" t="s">
        <v>182</v>
      </c>
      <c r="C3" s="100"/>
      <c r="D3" s="1"/>
    </row>
    <row r="4" spans="1:4" ht="25.5" customHeight="1" x14ac:dyDescent="0.25">
      <c r="A4" s="1"/>
      <c r="B4" s="100"/>
      <c r="C4" s="100"/>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71" t="s">
        <v>93</v>
      </c>
      <c r="C9" s="40">
        <v>1.2699999999999999E-2</v>
      </c>
      <c r="D9" s="1"/>
    </row>
    <row r="10" spans="1:4" x14ac:dyDescent="0.25">
      <c r="A10" s="1"/>
      <c r="B10" s="71" t="s">
        <v>21</v>
      </c>
      <c r="C10" s="40">
        <v>1.7500000000000002E-2</v>
      </c>
      <c r="D10" s="1"/>
    </row>
    <row r="11" spans="1:4" x14ac:dyDescent="0.25">
      <c r="A11" s="1"/>
      <c r="B11" s="71"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7"/>
      <c r="C17" s="109"/>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71" t="s">
        <v>95</v>
      </c>
      <c r="C21" s="42">
        <v>9.1000000000000004E-3</v>
      </c>
      <c r="D21" s="1"/>
    </row>
    <row r="22" spans="1:4" x14ac:dyDescent="0.25">
      <c r="A22" s="1"/>
      <c r="B22" s="71" t="s">
        <v>96</v>
      </c>
      <c r="C22" s="42">
        <v>1.77E-2</v>
      </c>
      <c r="D22" s="1"/>
    </row>
    <row r="23" spans="1:4" x14ac:dyDescent="0.25">
      <c r="A23" s="1"/>
      <c r="B23" s="71" t="s">
        <v>97</v>
      </c>
      <c r="C23" s="42">
        <v>8.6999999999999994E-3</v>
      </c>
      <c r="D23" s="1"/>
    </row>
    <row r="24" spans="1:4" x14ac:dyDescent="0.25">
      <c r="A24" s="1"/>
      <c r="B24" s="71" t="s">
        <v>98</v>
      </c>
      <c r="C24" s="42">
        <v>2.8400000000000002E-2</v>
      </c>
      <c r="D24" s="1"/>
    </row>
    <row r="25" spans="1:4" x14ac:dyDescent="0.25">
      <c r="A25" s="1"/>
      <c r="B25" s="71" t="s">
        <v>111</v>
      </c>
      <c r="C25" s="42">
        <v>2.75E-2</v>
      </c>
      <c r="D25" s="1"/>
    </row>
    <row r="26" spans="1:4" x14ac:dyDescent="0.25">
      <c r="A26" s="1"/>
      <c r="B26" s="71"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71"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g3YorYQkXuDEnA04DoWKx+9gGO/CQxAc2YzAq3ZAE/cpo5cWoSMJhmCnTtl8jxl+EoLo2/r21WK4oz816YL/fQ==" saltValue="ZNSQpg31Ecc9opQuODw2Yw=="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198</v>
      </c>
      <c r="C3" s="97"/>
      <c r="D3" s="97"/>
      <c r="E3" s="1"/>
    </row>
    <row r="4" spans="1:5" ht="15" customHeight="1" x14ac:dyDescent="0.25">
      <c r="A4" s="1"/>
      <c r="B4" s="97"/>
      <c r="C4" s="97"/>
      <c r="D4" s="97"/>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16516742.341806255</v>
      </c>
      <c r="D8" s="8" t="s">
        <v>3</v>
      </c>
      <c r="E8" s="1"/>
    </row>
    <row r="9" spans="1:5" ht="17.100000000000001" customHeight="1" x14ac:dyDescent="0.25">
      <c r="A9" s="1"/>
      <c r="B9" s="24" t="s">
        <v>33</v>
      </c>
      <c r="C9" s="7">
        <f>'Fane 10.1. Varige tillæg'!C30</f>
        <v>674608.34</v>
      </c>
      <c r="D9" s="8" t="s">
        <v>3</v>
      </c>
      <c r="E9" s="1"/>
    </row>
    <row r="10" spans="1:5" ht="17.100000000000001" customHeight="1" x14ac:dyDescent="0.25">
      <c r="A10" s="1"/>
      <c r="B10" s="24" t="s">
        <v>34</v>
      </c>
      <c r="C10" s="9">
        <f>'Fane 10.1. Varige tillæg'!E30</f>
        <v>482122.60984101857</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681459.88811545703</v>
      </c>
      <c r="D15" s="8" t="s">
        <v>3</v>
      </c>
      <c r="E15" s="1"/>
    </row>
    <row r="16" spans="1:5" ht="17.100000000000001" customHeight="1" x14ac:dyDescent="0.25">
      <c r="A16" s="1"/>
      <c r="B16" s="24" t="s">
        <v>9</v>
      </c>
      <c r="C16" s="9">
        <f>-SUM(C8,C9:C15)*'Fane 5. Individuelt eff. krav'!G9</f>
        <v>-96697.821464285938</v>
      </c>
      <c r="D16" s="8" t="s">
        <v>3</v>
      </c>
      <c r="E16" s="1"/>
    </row>
    <row r="17" spans="1:5" ht="17.100000000000001" customHeight="1" x14ac:dyDescent="0.25">
      <c r="A17" s="1"/>
      <c r="B17" s="24" t="s">
        <v>22</v>
      </c>
      <c r="C17" s="9">
        <f>-'Fane 4.1. Gen. krav - drift'!G49</f>
        <v>-181465.69984876044</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3" t="s">
        <v>19</v>
      </c>
      <c r="C19" s="10">
        <f>SUM(C8:C18)</f>
        <v>18076769.658449687</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omk.'!C19</f>
        <v>27701049.095523734</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3" t="s">
        <v>76</v>
      </c>
      <c r="C27" s="56">
        <v>0</v>
      </c>
      <c r="D27" s="11" t="s">
        <v>3</v>
      </c>
      <c r="E27" s="1"/>
    </row>
    <row r="28" spans="1:5" ht="15" customHeight="1" x14ac:dyDescent="0.25">
      <c r="A28" s="1"/>
      <c r="B28" s="26" t="s">
        <v>117</v>
      </c>
      <c r="C28" s="52"/>
      <c r="D28" s="19"/>
      <c r="E28" s="1"/>
    </row>
    <row r="29" spans="1:5" x14ac:dyDescent="0.25">
      <c r="A29" s="1"/>
      <c r="B29" s="72" t="s">
        <v>118</v>
      </c>
      <c r="C29" s="10">
        <f>'Fane 7. Kontrol af ØR2022'!E15</f>
        <v>0</v>
      </c>
      <c r="D29" s="11" t="s">
        <v>3</v>
      </c>
      <c r="E29" s="1"/>
    </row>
    <row r="30" spans="1:5" x14ac:dyDescent="0.25">
      <c r="A30" s="1"/>
      <c r="B30" s="26" t="s">
        <v>138</v>
      </c>
      <c r="C30" s="52"/>
      <c r="D30" s="19"/>
      <c r="E30" s="1"/>
    </row>
    <row r="31" spans="1:5" x14ac:dyDescent="0.25">
      <c r="A31" s="1"/>
      <c r="B31" s="72" t="s">
        <v>139</v>
      </c>
      <c r="C31" s="10">
        <f>'Fane 8. Skattesagen'!G13</f>
        <v>0</v>
      </c>
      <c r="D31" s="11" t="s">
        <v>3</v>
      </c>
      <c r="E31" s="1"/>
    </row>
    <row r="32" spans="1:5" x14ac:dyDescent="0.25">
      <c r="A32" s="1"/>
      <c r="B32" s="26" t="s">
        <v>278</v>
      </c>
      <c r="C32" s="52"/>
      <c r="D32" s="19"/>
      <c r="E32" s="1"/>
    </row>
    <row r="33" spans="1:5" x14ac:dyDescent="0.25">
      <c r="A33" s="1"/>
      <c r="B33" s="72" t="s">
        <v>279</v>
      </c>
      <c r="C33" s="10">
        <v>172435.98541647941</v>
      </c>
      <c r="D33" s="11" t="s">
        <v>3</v>
      </c>
      <c r="E33" s="1"/>
    </row>
    <row r="34" spans="1:5" x14ac:dyDescent="0.25">
      <c r="A34" s="1"/>
      <c r="B34" s="51" t="s">
        <v>126</v>
      </c>
      <c r="C34" s="33">
        <f>SUM(C19,C21,C27,C29,C31,C33)</f>
        <v>45950254.739389904</v>
      </c>
      <c r="D34" s="19" t="s">
        <v>3</v>
      </c>
      <c r="E34" s="1"/>
    </row>
    <row r="35" spans="1:5" x14ac:dyDescent="0.25">
      <c r="A35" s="1"/>
      <c r="B35" s="1" t="s">
        <v>168</v>
      </c>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M7hqCCa0gM4G16popby/doLxNe5JVreiRdsnM4RiCW1xA0R9BlpxKwpjcu6U2kay8xj/N2FgGgqtXEjIbD0YSQ==" saltValue="Ema02Xho0YIqms6vMnuu4w=="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199</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18076769.658449687</v>
      </c>
      <c r="D8" s="8" t="s">
        <v>3</v>
      </c>
      <c r="E8" s="1"/>
    </row>
    <row r="9" spans="1:5" ht="15" customHeight="1" x14ac:dyDescent="0.25">
      <c r="A9" s="1"/>
      <c r="B9" s="29" t="s">
        <v>17</v>
      </c>
      <c r="C9" s="9">
        <f>SUM(C8:C8)*'Fane 13. Nøgletal'!C16</f>
        <v>1460602.9884027347</v>
      </c>
      <c r="D9" s="8" t="s">
        <v>3</v>
      </c>
      <c r="E9" s="1"/>
    </row>
    <row r="10" spans="1:5" ht="15" customHeight="1" x14ac:dyDescent="0.25">
      <c r="A10" s="1"/>
      <c r="B10" s="29" t="s">
        <v>9</v>
      </c>
      <c r="C10" s="9">
        <f>-SUM(C8:C9)*'Fane 5. Individuelt eff. krav'!G9</f>
        <v>-102927.17241648822</v>
      </c>
      <c r="D10" s="8" t="s">
        <v>3</v>
      </c>
      <c r="E10" s="1"/>
    </row>
    <row r="11" spans="1:5" ht="15" customHeight="1" x14ac:dyDescent="0.25">
      <c r="A11" s="1"/>
      <c r="B11" s="29" t="s">
        <v>22</v>
      </c>
      <c r="C11" s="9">
        <f>-'Fane 4.1. Gen. krav - drift'!G54</f>
        <v>-192205.56582860951</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19242239.908607323</v>
      </c>
      <c r="D13" s="11" t="s">
        <v>3</v>
      </c>
      <c r="E13" s="1"/>
    </row>
    <row r="14" spans="1:5" x14ac:dyDescent="0.25">
      <c r="A14" s="1"/>
      <c r="B14" s="51" t="s">
        <v>11</v>
      </c>
      <c r="C14" s="52"/>
      <c r="D14" s="19"/>
      <c r="E14" s="1"/>
    </row>
    <row r="15" spans="1:5" ht="15" customHeight="1" x14ac:dyDescent="0.25">
      <c r="A15" s="1"/>
      <c r="B15" s="53" t="s">
        <v>11</v>
      </c>
      <c r="C15" s="10">
        <f>'Fane 6. Ikke-påvirkelige omk.'!C19*(1+'Fane 13. Nøgletal'!C16)</f>
        <v>29939293.86244205</v>
      </c>
      <c r="D15" s="11" t="s">
        <v>3</v>
      </c>
      <c r="E15" s="1"/>
    </row>
    <row r="16" spans="1:5" x14ac:dyDescent="0.25">
      <c r="A16" s="1"/>
      <c r="B16" s="26" t="s">
        <v>117</v>
      </c>
      <c r="C16" s="52"/>
      <c r="D16" s="19"/>
      <c r="E16" s="1"/>
    </row>
    <row r="17" spans="1:5" ht="15" customHeight="1" x14ac:dyDescent="0.25">
      <c r="A17" s="1"/>
      <c r="B17" s="72" t="s">
        <v>118</v>
      </c>
      <c r="C17" s="10">
        <f>'Fane 7. Kontrol af ØR2022'!E33</f>
        <v>-2760369</v>
      </c>
      <c r="D17" s="11" t="s">
        <v>3</v>
      </c>
      <c r="E17" s="1"/>
    </row>
    <row r="18" spans="1:5" x14ac:dyDescent="0.25">
      <c r="A18" s="1"/>
      <c r="B18" s="26" t="s">
        <v>138</v>
      </c>
      <c r="C18" s="52"/>
      <c r="D18" s="19"/>
      <c r="E18" s="1"/>
    </row>
    <row r="19" spans="1:5" x14ac:dyDescent="0.25">
      <c r="A19" s="1"/>
      <c r="B19" s="72" t="s">
        <v>139</v>
      </c>
      <c r="C19" s="10">
        <f>'Fane 8. Skattesagen'!G13</f>
        <v>0</v>
      </c>
      <c r="D19" s="11" t="s">
        <v>3</v>
      </c>
      <c r="E19" s="1"/>
    </row>
    <row r="20" spans="1:5" x14ac:dyDescent="0.25">
      <c r="A20" s="1"/>
      <c r="B20" s="51" t="s">
        <v>128</v>
      </c>
      <c r="C20" s="12">
        <f>SUM(C13,C15,C17,C19)</f>
        <v>46421164.771049373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A/m7rFAevZUaoq/PTy65yoOs7LmHhBfOO3YDAhEH5C+oqgn1/4IzfSJ0Z5bHQkibsPnJYEGqDBWk8SoBnp0ZQ==" saltValue="elhTk/dLXiKvVPOc5ep3z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200</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19242239.908607323</v>
      </c>
      <c r="D8" s="8" t="s">
        <v>3</v>
      </c>
      <c r="E8" s="1"/>
    </row>
    <row r="9" spans="1:5" ht="15" customHeight="1" x14ac:dyDescent="0.25">
      <c r="A9" s="1"/>
      <c r="B9" s="29" t="s">
        <v>17</v>
      </c>
      <c r="C9" s="9">
        <f>SUM(C8:C8)*'Fane 13. Nøgletal'!C16</f>
        <v>1554772.9846154717</v>
      </c>
      <c r="D9" s="8" t="s">
        <v>3</v>
      </c>
      <c r="E9" s="1"/>
    </row>
    <row r="10" spans="1:5" ht="15" customHeight="1" x14ac:dyDescent="0.25">
      <c r="A10" s="1"/>
      <c r="B10" s="29" t="s">
        <v>9</v>
      </c>
      <c r="C10" s="9">
        <f>-SUM(C8:C9)*'Fane 5. Individuelt eff. krav'!G9</f>
        <v>-109563.23403871451</v>
      </c>
      <c r="D10" s="8" t="s">
        <v>3</v>
      </c>
      <c r="E10" s="1"/>
    </row>
    <row r="11" spans="1:5" ht="15" customHeight="1" x14ac:dyDescent="0.25">
      <c r="A11" s="1"/>
      <c r="B11" s="29" t="s">
        <v>22</v>
      </c>
      <c r="C11" s="9">
        <f>-'Fane 4.1. Gen. krav - drift'!G59</f>
        <v>-203581.06003660991</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20483868.599147469</v>
      </c>
      <c r="D13" s="11" t="s">
        <v>3</v>
      </c>
      <c r="E13" s="1"/>
    </row>
    <row r="14" spans="1:5" x14ac:dyDescent="0.25">
      <c r="A14" s="1"/>
      <c r="B14" s="51" t="s">
        <v>11</v>
      </c>
      <c r="C14" s="52"/>
      <c r="D14" s="19"/>
      <c r="E14" s="1"/>
    </row>
    <row r="15" spans="1:5" ht="15" customHeight="1" x14ac:dyDescent="0.25">
      <c r="A15" s="1"/>
      <c r="B15" s="53" t="s">
        <v>11</v>
      </c>
      <c r="C15" s="10">
        <f>'Fane 6. Ikke-påvirkelige omk.'!C19*(1+'Fane 13. Nøgletal'!C16)^2</f>
        <v>32358388.806527369</v>
      </c>
      <c r="D15" s="11" t="s">
        <v>3</v>
      </c>
      <c r="E15" s="1"/>
    </row>
    <row r="16" spans="1:5" x14ac:dyDescent="0.25">
      <c r="A16" s="1"/>
      <c r="B16" s="51" t="s">
        <v>117</v>
      </c>
      <c r="C16" s="52"/>
      <c r="D16" s="19"/>
      <c r="E16" s="1"/>
    </row>
    <row r="17" spans="1:5" x14ac:dyDescent="0.25">
      <c r="A17" s="1"/>
      <c r="B17" s="53" t="s">
        <v>118</v>
      </c>
      <c r="C17" s="10">
        <f>'Fane 7. Kontrol af ØR2022'!E33</f>
        <v>-2760369</v>
      </c>
      <c r="D17" s="11" t="s">
        <v>3</v>
      </c>
      <c r="E17" s="1"/>
    </row>
    <row r="18" spans="1:5" ht="15" customHeight="1" x14ac:dyDescent="0.25">
      <c r="A18" s="1"/>
      <c r="B18" s="26" t="s">
        <v>138</v>
      </c>
      <c r="C18" s="52"/>
      <c r="D18" s="19"/>
      <c r="E18" s="1"/>
    </row>
    <row r="19" spans="1:5" ht="15" customHeight="1" x14ac:dyDescent="0.25">
      <c r="A19" s="1"/>
      <c r="B19" s="72" t="s">
        <v>139</v>
      </c>
      <c r="C19" s="10">
        <f>'Fane 8. Skattesagen'!G14</f>
        <v>0</v>
      </c>
      <c r="D19" s="11" t="s">
        <v>3</v>
      </c>
      <c r="E19" s="1"/>
    </row>
    <row r="20" spans="1:5" x14ac:dyDescent="0.25">
      <c r="A20" s="1"/>
      <c r="B20" s="51" t="s">
        <v>143</v>
      </c>
      <c r="C20" s="12">
        <f>SUM(C13,C15,C17,C19)</f>
        <v>50081888.405674838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BBoBKInrtWnJXSVMe5aWKwe8KijabFz993nyqrHT5ldgptb36UqcUtv0OaWpwbw+gCM/9D2b5ht2UTeVQr6HkA==" saltValue="GoFBsieVsqCM4QB+dCeVZ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7" t="s">
        <v>204</v>
      </c>
      <c r="C3" s="97"/>
      <c r="D3" s="97"/>
      <c r="E3" s="1"/>
    </row>
    <row r="4" spans="1:5" ht="15" customHeight="1" x14ac:dyDescent="0.25">
      <c r="A4" s="1"/>
      <c r="B4" s="97"/>
      <c r="C4" s="97"/>
      <c r="D4" s="97"/>
      <c r="E4" s="1"/>
    </row>
    <row r="5" spans="1:5" x14ac:dyDescent="0.25">
      <c r="A5" s="1"/>
      <c r="B5" s="98" t="s">
        <v>20</v>
      </c>
      <c r="C5" s="98"/>
      <c r="D5" s="98"/>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20483868.599147469</v>
      </c>
      <c r="D8" s="8" t="s">
        <v>3</v>
      </c>
      <c r="E8" s="1"/>
    </row>
    <row r="9" spans="1:5" ht="15" customHeight="1" x14ac:dyDescent="0.25">
      <c r="A9" s="1"/>
      <c r="B9" s="29" t="s">
        <v>17</v>
      </c>
      <c r="C9" s="9">
        <f>SUM(C8:C8)*'Fane 13. Nøgletal'!C16</f>
        <v>1655096.5828111153</v>
      </c>
      <c r="D9" s="8" t="s">
        <v>3</v>
      </c>
      <c r="E9" s="1"/>
    </row>
    <row r="10" spans="1:5" ht="15" customHeight="1" x14ac:dyDescent="0.25">
      <c r="A10" s="1"/>
      <c r="B10" s="29" t="s">
        <v>9</v>
      </c>
      <c r="C10" s="9">
        <f>-SUM(C8:C9)*'Fane 5. Individuelt eff. krav'!G9</f>
        <v>-116632.93358808878</v>
      </c>
      <c r="D10" s="8" t="s">
        <v>3</v>
      </c>
      <c r="E10" s="1"/>
    </row>
    <row r="11" spans="1:5" ht="15" customHeight="1" x14ac:dyDescent="0.25">
      <c r="A11" s="1"/>
      <c r="B11" s="29" t="s">
        <v>22</v>
      </c>
      <c r="C11" s="9">
        <f>-'Fane 4.1. Gen. krav - drift'!G64</f>
        <v>-215629.8014938166</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21806702.446876682</v>
      </c>
      <c r="D13" s="11" t="s">
        <v>3</v>
      </c>
      <c r="E13" s="1"/>
    </row>
    <row r="14" spans="1:5" x14ac:dyDescent="0.25">
      <c r="A14" s="1"/>
      <c r="B14" s="51" t="s">
        <v>11</v>
      </c>
      <c r="C14" s="52"/>
      <c r="D14" s="19"/>
      <c r="E14" s="1"/>
    </row>
    <row r="15" spans="1:5" ht="15" customHeight="1" x14ac:dyDescent="0.25">
      <c r="A15" s="1"/>
      <c r="B15" s="53" t="s">
        <v>11</v>
      </c>
      <c r="C15" s="10">
        <f>'Fane 6. Ikke-påvirkelige omk.'!C19*(1+'Fane 13. Nøgletal'!C16)^3</f>
        <v>34972946.62209478</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2" t="s">
        <v>139</v>
      </c>
      <c r="C19" s="10">
        <f>'Fane 8. Skattesagen'!G15</f>
        <v>0</v>
      </c>
      <c r="D19" s="11" t="s">
        <v>3</v>
      </c>
      <c r="E19" s="1"/>
    </row>
    <row r="20" spans="1:5" x14ac:dyDescent="0.25">
      <c r="A20" s="1"/>
      <c r="B20" s="51" t="s">
        <v>205</v>
      </c>
      <c r="C20" s="12">
        <f>SUM(C13,C15,C17,C19)</f>
        <v>56779649.068971463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f7RYQTGEmyZ6Yff9sFk8xOTmGkYe2O2AvM6+B8E2QGMPfYJO8dITf8yjoxf60tDC9/TmlMhbcsrWMxSquF/coQ==" saltValue="6+pPvqnqxcX8Ko1jQYZv8Q=="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00" t="s">
        <v>201</v>
      </c>
      <c r="C3" s="100"/>
      <c r="D3" s="100"/>
      <c r="E3" s="1"/>
    </row>
    <row r="4" spans="1:5" x14ac:dyDescent="0.25">
      <c r="A4" s="1"/>
      <c r="B4" s="100"/>
      <c r="C4" s="100"/>
      <c r="D4" s="100"/>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15596025.058580294</v>
      </c>
      <c r="D8" s="8" t="s">
        <v>3</v>
      </c>
      <c r="E8" s="1"/>
    </row>
    <row r="9" spans="1:5" x14ac:dyDescent="0.25">
      <c r="A9" s="1"/>
      <c r="B9" s="24" t="s">
        <v>33</v>
      </c>
      <c r="C9" s="7">
        <v>363043.04280000005</v>
      </c>
      <c r="D9" s="8" t="s">
        <v>3</v>
      </c>
      <c r="E9" s="1"/>
    </row>
    <row r="10" spans="1:5" x14ac:dyDescent="0.25">
      <c r="A10" s="1"/>
      <c r="B10" s="24" t="s">
        <v>34</v>
      </c>
      <c r="C10" s="9">
        <v>233982.4284</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576472.59886017849</v>
      </c>
      <c r="D15" s="8" t="s">
        <v>3</v>
      </c>
      <c r="E15" s="1"/>
    </row>
    <row r="16" spans="1:5" x14ac:dyDescent="0.25">
      <c r="A16" s="1"/>
      <c r="B16" s="24" t="s">
        <v>9</v>
      </c>
      <c r="C16" s="9">
        <v>-88345.532923125123</v>
      </c>
      <c r="D16" s="8" t="s">
        <v>3</v>
      </c>
      <c r="E16" s="1"/>
    </row>
    <row r="17" spans="1:5" x14ac:dyDescent="0.25">
      <c r="A17" s="1"/>
      <c r="B17" s="24" t="s">
        <v>22</v>
      </c>
      <c r="C17" s="9">
        <v>-164435.25391109209</v>
      </c>
      <c r="D17" s="8" t="s">
        <v>3</v>
      </c>
      <c r="E17" s="1"/>
    </row>
    <row r="18" spans="1:5" x14ac:dyDescent="0.25">
      <c r="A18" s="1"/>
      <c r="B18" s="24" t="s">
        <v>23</v>
      </c>
      <c r="C18" s="9">
        <v>0</v>
      </c>
      <c r="D18" s="8" t="s">
        <v>3</v>
      </c>
      <c r="E18" s="1"/>
    </row>
    <row r="19" spans="1:5" x14ac:dyDescent="0.25">
      <c r="A19" s="1"/>
      <c r="B19" s="73" t="s">
        <v>19</v>
      </c>
      <c r="C19" s="10">
        <v>16516742.341806255</v>
      </c>
      <c r="D19" s="11" t="s">
        <v>3</v>
      </c>
      <c r="E19" s="1"/>
    </row>
    <row r="20" spans="1:5" x14ac:dyDescent="0.25">
      <c r="A20" s="1"/>
      <c r="B20" s="51" t="s">
        <v>11</v>
      </c>
      <c r="C20" s="52"/>
      <c r="D20" s="19"/>
      <c r="E20" s="1"/>
    </row>
    <row r="21" spans="1:5" x14ac:dyDescent="0.25">
      <c r="A21" s="1"/>
      <c r="B21" s="53" t="s">
        <v>11</v>
      </c>
      <c r="C21" s="10">
        <v>19372608.534487683</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3" t="s">
        <v>76</v>
      </c>
      <c r="C27" s="56">
        <v>0</v>
      </c>
      <c r="D27" s="11" t="s">
        <v>3</v>
      </c>
      <c r="E27" s="1"/>
    </row>
    <row r="28" spans="1:5" x14ac:dyDescent="0.25">
      <c r="A28" s="1"/>
      <c r="B28" s="26" t="s">
        <v>117</v>
      </c>
      <c r="C28" s="52"/>
      <c r="D28" s="19"/>
      <c r="E28" s="1"/>
    </row>
    <row r="29" spans="1:5" x14ac:dyDescent="0.25">
      <c r="A29" s="1"/>
      <c r="B29" s="72" t="s">
        <v>118</v>
      </c>
      <c r="C29" s="10">
        <v>0</v>
      </c>
      <c r="D29" s="11" t="s">
        <v>3</v>
      </c>
      <c r="E29" s="1"/>
    </row>
    <row r="30" spans="1:5" x14ac:dyDescent="0.25">
      <c r="A30" s="1"/>
      <c r="B30" s="26" t="s">
        <v>138</v>
      </c>
      <c r="C30" s="52"/>
      <c r="D30" s="19"/>
      <c r="E30" s="1"/>
    </row>
    <row r="31" spans="1:5" x14ac:dyDescent="0.25">
      <c r="A31" s="1"/>
      <c r="B31" s="72" t="s">
        <v>139</v>
      </c>
      <c r="C31" s="10">
        <v>0</v>
      </c>
      <c r="D31" s="11" t="s">
        <v>3</v>
      </c>
      <c r="E31" s="1"/>
    </row>
    <row r="32" spans="1:5" x14ac:dyDescent="0.25">
      <c r="A32" s="1"/>
      <c r="B32" s="51" t="s">
        <v>239</v>
      </c>
      <c r="C32" s="33">
        <v>35889350.876293942</v>
      </c>
      <c r="D32" s="19" t="s">
        <v>3</v>
      </c>
      <c r="E32" s="1"/>
    </row>
    <row r="33" spans="1:5" ht="30" customHeight="1" x14ac:dyDescent="0.25">
      <c r="A33" s="1"/>
      <c r="B33" s="99" t="s">
        <v>240</v>
      </c>
      <c r="C33" s="99"/>
      <c r="D33" s="9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lq1RvPRJmSwIm81O5U/Fp8yoDkDIw3d2a0Wm7XcZc6JBbija6TwSF53+yTaK4jJEwTCRNhMDdoIva3hUti+VDg==" saltValue="IC99RHAxucT5jwWxpbEzx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100" t="s">
        <v>90</v>
      </c>
      <c r="C1" s="100"/>
      <c r="D1" s="100"/>
      <c r="E1" s="100"/>
      <c r="F1" s="100"/>
      <c r="G1" s="100"/>
      <c r="H1" s="100"/>
      <c r="I1" s="1"/>
    </row>
    <row r="2" spans="1:9" ht="15" customHeight="1" x14ac:dyDescent="0.25">
      <c r="A2" s="1"/>
      <c r="B2" s="100"/>
      <c r="C2" s="100"/>
      <c r="D2" s="100"/>
      <c r="E2" s="100"/>
      <c r="F2" s="100"/>
      <c r="G2" s="100"/>
      <c r="H2" s="100"/>
      <c r="I2" s="1"/>
    </row>
    <row r="3" spans="1:9" ht="15" customHeight="1" x14ac:dyDescent="0.25">
      <c r="A3" s="1"/>
      <c r="B3" s="100"/>
      <c r="C3" s="100"/>
      <c r="D3" s="100"/>
      <c r="E3" s="100"/>
      <c r="F3" s="100"/>
      <c r="G3" s="100"/>
      <c r="H3" s="100"/>
      <c r="I3" s="1"/>
    </row>
    <row r="4" spans="1:9" x14ac:dyDescent="0.25">
      <c r="A4" s="1"/>
      <c r="B4" s="107" t="s">
        <v>44</v>
      </c>
      <c r="C4" s="108"/>
      <c r="D4" s="108"/>
      <c r="E4" s="108"/>
      <c r="F4" s="108"/>
      <c r="G4" s="108"/>
      <c r="H4" s="109"/>
      <c r="I4" s="1"/>
    </row>
    <row r="5" spans="1:9" x14ac:dyDescent="0.25">
      <c r="A5" s="1"/>
      <c r="B5" s="101" t="s">
        <v>36</v>
      </c>
      <c r="C5" s="102"/>
      <c r="D5" s="102"/>
      <c r="E5" s="102"/>
      <c r="F5" s="103"/>
      <c r="G5" s="47">
        <v>7326095.8916398128</v>
      </c>
      <c r="H5" s="14" t="s">
        <v>3</v>
      </c>
      <c r="I5" s="1"/>
    </row>
    <row r="6" spans="1:9" x14ac:dyDescent="0.25">
      <c r="A6" s="1"/>
      <c r="B6" s="101" t="s">
        <v>37</v>
      </c>
      <c r="C6" s="102"/>
      <c r="D6" s="102"/>
      <c r="E6" s="102"/>
      <c r="F6" s="103"/>
      <c r="G6" s="22">
        <f>G5*'Fane 13. Nøgletal'!C33</f>
        <v>146521.91783279626</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7" t="s">
        <v>45</v>
      </c>
      <c r="C9" s="108"/>
      <c r="D9" s="108"/>
      <c r="E9" s="108"/>
      <c r="F9" s="108"/>
      <c r="G9" s="108"/>
      <c r="H9" s="109"/>
      <c r="I9" s="1"/>
    </row>
    <row r="10" spans="1:9" x14ac:dyDescent="0.25">
      <c r="A10" s="1"/>
      <c r="B10" s="101" t="s">
        <v>38</v>
      </c>
      <c r="C10" s="102"/>
      <c r="D10" s="102"/>
      <c r="E10" s="102"/>
      <c r="F10" s="103"/>
      <c r="G10" s="22">
        <f>(G5-G6)*(1+'Fane 13. Nøgletal'!C9)</f>
        <v>7270754.5632743649</v>
      </c>
      <c r="H10" s="14" t="s">
        <v>3</v>
      </c>
      <c r="I10" s="1"/>
    </row>
    <row r="11" spans="1:9" x14ac:dyDescent="0.25">
      <c r="A11" s="1"/>
      <c r="B11" s="104" t="s">
        <v>228</v>
      </c>
      <c r="C11" s="105"/>
      <c r="D11" s="105"/>
      <c r="E11" s="105"/>
      <c r="F11" s="106"/>
      <c r="G11" s="47">
        <v>0</v>
      </c>
      <c r="H11" s="14" t="s">
        <v>3</v>
      </c>
      <c r="I11" s="1"/>
    </row>
    <row r="12" spans="1:9" x14ac:dyDescent="0.25">
      <c r="A12" s="1"/>
      <c r="B12" s="101" t="s">
        <v>39</v>
      </c>
      <c r="C12" s="102"/>
      <c r="D12" s="102"/>
      <c r="E12" s="102"/>
      <c r="F12" s="103"/>
      <c r="G12" s="22">
        <f>(G10+G11)*'Fane 13. Nøgletal'!C33</f>
        <v>145415.09126548731</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7" t="s">
        <v>46</v>
      </c>
      <c r="C15" s="108"/>
      <c r="D15" s="108"/>
      <c r="E15" s="108"/>
      <c r="F15" s="108"/>
      <c r="G15" s="108"/>
      <c r="H15" s="109"/>
      <c r="I15" s="1"/>
    </row>
    <row r="16" spans="1:9" x14ac:dyDescent="0.25">
      <c r="A16" s="1"/>
      <c r="B16" s="101" t="s">
        <v>40</v>
      </c>
      <c r="C16" s="102"/>
      <c r="D16" s="102"/>
      <c r="E16" s="102"/>
      <c r="F16" s="103"/>
      <c r="G16" s="22">
        <f>(G10+G11-G12)*(1+'Fane 13. Nøgletal'!C11)</f>
        <v>7245757.7090858268</v>
      </c>
      <c r="H16" s="14" t="s">
        <v>3</v>
      </c>
      <c r="I16" s="1"/>
    </row>
    <row r="17" spans="1:9" x14ac:dyDescent="0.25">
      <c r="A17" s="1"/>
      <c r="B17" s="101" t="s">
        <v>100</v>
      </c>
      <c r="C17" s="102"/>
      <c r="D17" s="102"/>
      <c r="E17" s="102"/>
      <c r="F17" s="103"/>
      <c r="G17" s="47">
        <v>0</v>
      </c>
      <c r="H17" s="14" t="s">
        <v>3</v>
      </c>
      <c r="I17" s="1"/>
    </row>
    <row r="18" spans="1:9" x14ac:dyDescent="0.25">
      <c r="A18" s="1"/>
      <c r="B18" s="104" t="s">
        <v>229</v>
      </c>
      <c r="C18" s="105"/>
      <c r="D18" s="105"/>
      <c r="E18" s="105"/>
      <c r="F18" s="106"/>
      <c r="G18" s="47">
        <v>0</v>
      </c>
      <c r="H18" s="14" t="s">
        <v>3</v>
      </c>
      <c r="I18" s="1"/>
    </row>
    <row r="19" spans="1:9" x14ac:dyDescent="0.25">
      <c r="A19" s="1"/>
      <c r="B19" s="101" t="s">
        <v>41</v>
      </c>
      <c r="C19" s="102"/>
      <c r="D19" s="102"/>
      <c r="E19" s="102"/>
      <c r="F19" s="103"/>
      <c r="G19" s="22">
        <f>SUM(G16:G18)*'Fane 13. Nøgletal'!C33</f>
        <v>144915.15418171653</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7" t="s">
        <v>47</v>
      </c>
      <c r="C22" s="108"/>
      <c r="D22" s="108"/>
      <c r="E22" s="108"/>
      <c r="F22" s="108"/>
      <c r="G22" s="108"/>
      <c r="H22" s="109"/>
      <c r="I22" s="1"/>
    </row>
    <row r="23" spans="1:9" x14ac:dyDescent="0.25">
      <c r="A23" s="1"/>
      <c r="B23" s="101" t="s">
        <v>42</v>
      </c>
      <c r="C23" s="102"/>
      <c r="D23" s="102"/>
      <c r="E23" s="102"/>
      <c r="F23" s="103"/>
      <c r="G23" s="22">
        <f>(SUM(G16:G18)-G19)*(1+'Fane 13. Nøgletal'!C11)</f>
        <v>7220846.7940819887</v>
      </c>
      <c r="H23" s="14" t="s">
        <v>3</v>
      </c>
      <c r="I23" s="1"/>
    </row>
    <row r="24" spans="1:9" x14ac:dyDescent="0.25">
      <c r="A24" s="1"/>
      <c r="B24" s="104" t="s">
        <v>230</v>
      </c>
      <c r="C24" s="105"/>
      <c r="D24" s="105"/>
      <c r="E24" s="105"/>
      <c r="F24" s="106"/>
      <c r="G24" s="47">
        <v>313338.06134532002</v>
      </c>
      <c r="H24" s="14" t="s">
        <v>3</v>
      </c>
      <c r="I24" s="1"/>
    </row>
    <row r="25" spans="1:9" x14ac:dyDescent="0.25">
      <c r="A25" s="1"/>
      <c r="B25" s="101" t="s">
        <v>43</v>
      </c>
      <c r="C25" s="102"/>
      <c r="D25" s="102"/>
      <c r="E25" s="102"/>
      <c r="F25" s="103"/>
      <c r="G25" s="22">
        <f>(G23+G24)*'Fane 13. Nøgletal'!C33</f>
        <v>150683.69710854618</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7" t="s">
        <v>121</v>
      </c>
      <c r="C28" s="108"/>
      <c r="D28" s="108"/>
      <c r="E28" s="108"/>
      <c r="F28" s="108"/>
      <c r="G28" s="108"/>
      <c r="H28" s="109"/>
      <c r="I28" s="1"/>
    </row>
    <row r="29" spans="1:9" x14ac:dyDescent="0.25">
      <c r="A29" s="1"/>
      <c r="B29" s="101" t="s">
        <v>50</v>
      </c>
      <c r="C29" s="102"/>
      <c r="D29" s="102"/>
      <c r="E29" s="102"/>
      <c r="F29" s="103"/>
      <c r="G29" s="22">
        <f>(G23+G24-G25)*(1+'Fane 13. Nøgletal'!C13)</f>
        <v>7473579.8724502511</v>
      </c>
      <c r="H29" s="14" t="s">
        <v>3</v>
      </c>
      <c r="I29" s="1"/>
    </row>
    <row r="30" spans="1:9" x14ac:dyDescent="0.25">
      <c r="A30" s="1"/>
      <c r="B30" s="101" t="s">
        <v>231</v>
      </c>
      <c r="C30" s="102"/>
      <c r="D30" s="102"/>
      <c r="E30" s="102"/>
      <c r="F30" s="103"/>
      <c r="G30" s="47">
        <v>160240.6866736513</v>
      </c>
      <c r="H30" s="14" t="s">
        <v>3</v>
      </c>
      <c r="I30" s="1"/>
    </row>
    <row r="31" spans="1:9" x14ac:dyDescent="0.25">
      <c r="A31" s="1"/>
      <c r="B31" s="101" t="s">
        <v>115</v>
      </c>
      <c r="C31" s="102"/>
      <c r="D31" s="102"/>
      <c r="E31" s="102"/>
      <c r="F31" s="103"/>
      <c r="G31" s="22">
        <f>(G29+G30)*'Fane 13. Nøgletal'!C33</f>
        <v>152676.41118247804</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7" t="s">
        <v>122</v>
      </c>
      <c r="C34" s="108"/>
      <c r="D34" s="108"/>
      <c r="E34" s="108"/>
      <c r="F34" s="108"/>
      <c r="G34" s="108"/>
      <c r="H34" s="109"/>
      <c r="I34" s="1"/>
    </row>
    <row r="35" spans="1:9" x14ac:dyDescent="0.25">
      <c r="A35" s="1"/>
      <c r="B35" s="101" t="s">
        <v>69</v>
      </c>
      <c r="C35" s="102"/>
      <c r="D35" s="102"/>
      <c r="E35" s="102"/>
      <c r="F35" s="103"/>
      <c r="G35" s="22">
        <f>(G29+G30-G31)*(1+'Fane 13. Nøgletal'!C13)</f>
        <v>7572414.1065463098</v>
      </c>
      <c r="H35" s="14" t="s">
        <v>3</v>
      </c>
      <c r="I35" s="1"/>
    </row>
    <row r="36" spans="1:9" x14ac:dyDescent="0.25">
      <c r="A36" s="1"/>
      <c r="B36" s="101" t="s">
        <v>232</v>
      </c>
      <c r="C36" s="102"/>
      <c r="D36" s="102"/>
      <c r="E36" s="102"/>
      <c r="F36" s="103"/>
      <c r="G36" s="47">
        <v>158286.54261983003</v>
      </c>
      <c r="H36" s="14" t="s">
        <v>3</v>
      </c>
      <c r="I36" s="1"/>
    </row>
    <row r="37" spans="1:9" x14ac:dyDescent="0.25">
      <c r="A37" s="1"/>
      <c r="B37" s="101" t="s">
        <v>123</v>
      </c>
      <c r="C37" s="102"/>
      <c r="D37" s="102"/>
      <c r="E37" s="102"/>
      <c r="F37" s="103"/>
      <c r="G37" s="22">
        <f>(G35+G36)*'Fane 13. Nøgletal'!C33</f>
        <v>154614.01298332281</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7" t="s">
        <v>157</v>
      </c>
      <c r="C40" s="108"/>
      <c r="D40" s="108"/>
      <c r="E40" s="108"/>
      <c r="F40" s="108"/>
      <c r="G40" s="108"/>
      <c r="H40" s="109"/>
      <c r="I40" s="1"/>
    </row>
    <row r="41" spans="1:9" x14ac:dyDescent="0.25">
      <c r="A41" s="1"/>
      <c r="B41" s="101" t="s">
        <v>68</v>
      </c>
      <c r="C41" s="102"/>
      <c r="D41" s="102"/>
      <c r="E41" s="102"/>
      <c r="F41" s="103"/>
      <c r="G41" s="22">
        <f>(G35+G36-G37)*(1+'Fane 13. Nøgletal'!C15)</f>
        <v>7845795.3204309251</v>
      </c>
      <c r="H41" s="14" t="s">
        <v>3</v>
      </c>
      <c r="I41" s="1"/>
    </row>
    <row r="42" spans="1:9" x14ac:dyDescent="0.25">
      <c r="A42" s="1"/>
      <c r="B42" s="101" t="s">
        <v>156</v>
      </c>
      <c r="C42" s="102"/>
      <c r="D42" s="102"/>
      <c r="E42" s="102"/>
      <c r="F42" s="103"/>
      <c r="G42" s="22">
        <v>375967.3751236801</v>
      </c>
      <c r="H42" s="14" t="s">
        <v>3</v>
      </c>
      <c r="I42" s="1"/>
    </row>
    <row r="43" spans="1:9" x14ac:dyDescent="0.25">
      <c r="A43" s="1"/>
      <c r="B43" s="101" t="s">
        <v>166</v>
      </c>
      <c r="C43" s="102"/>
      <c r="D43" s="102"/>
      <c r="E43" s="102"/>
      <c r="F43" s="103"/>
      <c r="G43" s="22">
        <f>(G41+G42)*'Fane 13. Nøgletal'!C33</f>
        <v>164435.25391109209</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7" t="s">
        <v>158</v>
      </c>
      <c r="C46" s="108"/>
      <c r="D46" s="108"/>
      <c r="E46" s="108"/>
      <c r="F46" s="108"/>
      <c r="G46" s="108"/>
      <c r="H46" s="109"/>
      <c r="I46" s="1"/>
    </row>
    <row r="47" spans="1:9" x14ac:dyDescent="0.25">
      <c r="A47" s="1"/>
      <c r="B47" s="101" t="s">
        <v>112</v>
      </c>
      <c r="C47" s="102"/>
      <c r="D47" s="102"/>
      <c r="E47" s="102"/>
      <c r="F47" s="103"/>
      <c r="G47" s="22">
        <f>(G41+G42-G43)*(1+'Fane 13. Nøgletal'!C15)</f>
        <v>8344168.2985660229</v>
      </c>
      <c r="H47" s="14" t="s">
        <v>3</v>
      </c>
      <c r="I47" s="1"/>
    </row>
    <row r="48" spans="1:9" x14ac:dyDescent="0.25">
      <c r="A48" s="1"/>
      <c r="B48" s="101" t="s">
        <v>206</v>
      </c>
      <c r="C48" s="102"/>
      <c r="D48" s="102"/>
      <c r="E48" s="102"/>
      <c r="F48" s="103"/>
      <c r="G48" s="22">
        <f>('Fane 2.1. Økonomisk ramme 2024'!C9+'Fane 2.1. Økonomisk ramme 2024'!C11+'Fane 2.1. Økonomisk ramme 2024'!C13)*(1+'Fane 13. Nøgletal'!C16)</f>
        <v>729116.69387199997</v>
      </c>
      <c r="H48" s="14" t="s">
        <v>3</v>
      </c>
      <c r="I48" s="1"/>
    </row>
    <row r="49" spans="1:9" x14ac:dyDescent="0.25">
      <c r="A49" s="1"/>
      <c r="B49" s="101" t="s">
        <v>167</v>
      </c>
      <c r="C49" s="102"/>
      <c r="D49" s="102"/>
      <c r="E49" s="102"/>
      <c r="F49" s="103"/>
      <c r="G49" s="22">
        <f>G47*'Fane 13. Nøgletal'!C33+G48*'Fane 13. Nøgletal'!C33</f>
        <v>181465.69984876044</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7" t="s">
        <v>133</v>
      </c>
      <c r="C52" s="108"/>
      <c r="D52" s="108"/>
      <c r="E52" s="108"/>
      <c r="F52" s="108"/>
      <c r="G52" s="108"/>
      <c r="H52" s="109"/>
      <c r="I52" s="1"/>
    </row>
    <row r="53" spans="1:9" x14ac:dyDescent="0.25">
      <c r="A53" s="1"/>
      <c r="B53" s="101" t="s">
        <v>134</v>
      </c>
      <c r="C53" s="102"/>
      <c r="D53" s="102"/>
      <c r="E53" s="102"/>
      <c r="F53" s="103"/>
      <c r="G53" s="22">
        <f>(G47+G48-G49)*(1+'Fane 13. Nøgletal'!C16)</f>
        <v>9610278.2914304752</v>
      </c>
      <c r="H53" s="14" t="s">
        <v>3</v>
      </c>
      <c r="I53" s="1"/>
    </row>
    <row r="54" spans="1:9" x14ac:dyDescent="0.25">
      <c r="A54" s="1"/>
      <c r="B54" s="101" t="s">
        <v>135</v>
      </c>
      <c r="C54" s="102"/>
      <c r="D54" s="102"/>
      <c r="E54" s="102"/>
      <c r="F54" s="103"/>
      <c r="G54" s="22">
        <f>(G53)*'Fane 13. Nøgletal'!C33</f>
        <v>192205.56582860951</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7" t="s">
        <v>144</v>
      </c>
      <c r="C57" s="108"/>
      <c r="D57" s="108"/>
      <c r="E57" s="108"/>
      <c r="F57" s="108"/>
      <c r="G57" s="108"/>
      <c r="H57" s="109"/>
      <c r="I57" s="1"/>
    </row>
    <row r="58" spans="1:9" x14ac:dyDescent="0.25">
      <c r="A58" s="1"/>
      <c r="B58" s="101" t="s">
        <v>145</v>
      </c>
      <c r="C58" s="102"/>
      <c r="D58" s="102"/>
      <c r="E58" s="102"/>
      <c r="F58" s="103"/>
      <c r="G58" s="22">
        <f>(G53-G54)*(1+'Fane 13. Nøgletal'!C16)</f>
        <v>10179053.001830496</v>
      </c>
      <c r="H58" s="14" t="s">
        <v>3</v>
      </c>
      <c r="I58" s="1"/>
    </row>
    <row r="59" spans="1:9" x14ac:dyDescent="0.25">
      <c r="A59" s="1"/>
      <c r="B59" s="101" t="s">
        <v>146</v>
      </c>
      <c r="C59" s="102"/>
      <c r="D59" s="102"/>
      <c r="E59" s="102"/>
      <c r="F59" s="103"/>
      <c r="G59" s="22">
        <f>(G58)*'Fane 13. Nøgletal'!C33</f>
        <v>203581.06003660991</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7" t="s">
        <v>220</v>
      </c>
      <c r="C62" s="108"/>
      <c r="D62" s="108"/>
      <c r="E62" s="108"/>
      <c r="F62" s="108"/>
      <c r="G62" s="108"/>
      <c r="H62" s="109"/>
      <c r="I62" s="1"/>
    </row>
    <row r="63" spans="1:9" x14ac:dyDescent="0.25">
      <c r="A63" s="1"/>
      <c r="B63" s="101" t="s">
        <v>221</v>
      </c>
      <c r="C63" s="102"/>
      <c r="D63" s="102"/>
      <c r="E63" s="102"/>
      <c r="F63" s="103"/>
      <c r="G63" s="22">
        <f>(G58-G59)*(1+'Fane 13. Nøgletal'!C16)</f>
        <v>10781490.07469083</v>
      </c>
      <c r="H63" s="14" t="s">
        <v>3</v>
      </c>
      <c r="I63" s="1"/>
    </row>
    <row r="64" spans="1:9" x14ac:dyDescent="0.25">
      <c r="A64" s="1"/>
      <c r="B64" s="101" t="s">
        <v>222</v>
      </c>
      <c r="C64" s="102"/>
      <c r="D64" s="102"/>
      <c r="E64" s="102"/>
      <c r="F64" s="103"/>
      <c r="G64" s="22">
        <f>(G63)*'Fane 13. Nøgletal'!C33</f>
        <v>215629.8014938166</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EtYBZGvVvE0+rgj2O1XVZrQ0Crl3z3PgvozQg5wQKNZYR2Kdov8/cfhW5E2nNdmI66XI45JaoMADUNvP7w2Z2A==" saltValue="dKDuNKuxqadFNOmMrbdTAA==" spinCount="100000" sheet="1" objects="1" scenarios="1"/>
  <mergeCells count="42">
    <mergeCell ref="B62:H62"/>
    <mergeCell ref="B63:F63"/>
    <mergeCell ref="B64:F64"/>
    <mergeCell ref="B59:F59"/>
    <mergeCell ref="B52:H52"/>
    <mergeCell ref="B53:F53"/>
    <mergeCell ref="B54:F54"/>
    <mergeCell ref="B58:F58"/>
    <mergeCell ref="B37:F37"/>
    <mergeCell ref="B46:H46"/>
    <mergeCell ref="B48:F48"/>
    <mergeCell ref="B36:F36"/>
    <mergeCell ref="B57:H57"/>
    <mergeCell ref="B47:F47"/>
    <mergeCell ref="B49:F49"/>
    <mergeCell ref="B40:H40"/>
    <mergeCell ref="B41:F41"/>
    <mergeCell ref="B43:F43"/>
    <mergeCell ref="B42:F42"/>
    <mergeCell ref="B25:F25"/>
    <mergeCell ref="B35:F35"/>
    <mergeCell ref="B30:F30"/>
    <mergeCell ref="B31:F31"/>
    <mergeCell ref="B22:H22"/>
    <mergeCell ref="B24:F24"/>
    <mergeCell ref="B28:H28"/>
    <mergeCell ref="B29:F29"/>
    <mergeCell ref="B34:H34"/>
    <mergeCell ref="B15:H15"/>
    <mergeCell ref="B1:H3"/>
    <mergeCell ref="B4:H4"/>
    <mergeCell ref="B5:F5"/>
    <mergeCell ref="B6:F6"/>
    <mergeCell ref="B10:F10"/>
    <mergeCell ref="B9:H9"/>
    <mergeCell ref="B11:F11"/>
    <mergeCell ref="B12:F12"/>
    <mergeCell ref="B16:F16"/>
    <mergeCell ref="B18:F18"/>
    <mergeCell ref="B17:F17"/>
    <mergeCell ref="B19:F19"/>
    <mergeCell ref="B23:F23"/>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10" t="s">
        <v>91</v>
      </c>
      <c r="C1" s="111"/>
      <c r="D1" s="111"/>
      <c r="E1" s="111"/>
      <c r="F1" s="111"/>
      <c r="G1" s="111"/>
      <c r="H1" s="111"/>
      <c r="I1" s="1"/>
    </row>
    <row r="2" spans="1:9" ht="19.899999999999999" customHeight="1" x14ac:dyDescent="0.25">
      <c r="A2" s="1"/>
      <c r="B2" s="111"/>
      <c r="C2" s="111"/>
      <c r="D2" s="111"/>
      <c r="E2" s="111"/>
      <c r="F2" s="111"/>
      <c r="G2" s="111"/>
      <c r="H2" s="111"/>
      <c r="I2" s="1"/>
    </row>
    <row r="3" spans="1:9" ht="15" customHeight="1" x14ac:dyDescent="0.25">
      <c r="A3" s="1"/>
      <c r="B3" s="112"/>
      <c r="C3" s="112"/>
      <c r="D3" s="112"/>
      <c r="E3" s="112"/>
      <c r="F3" s="112"/>
      <c r="G3" s="112"/>
      <c r="H3" s="112"/>
      <c r="I3" s="1"/>
    </row>
    <row r="4" spans="1:9" x14ac:dyDescent="0.25">
      <c r="A4" s="1"/>
      <c r="B4" s="107" t="s">
        <v>48</v>
      </c>
      <c r="C4" s="108"/>
      <c r="D4" s="108"/>
      <c r="E4" s="108"/>
      <c r="F4" s="108"/>
      <c r="G4" s="108"/>
      <c r="H4" s="109"/>
      <c r="I4" s="1"/>
    </row>
    <row r="5" spans="1:9" x14ac:dyDescent="0.25">
      <c r="A5" s="1"/>
      <c r="B5" s="101" t="s">
        <v>51</v>
      </c>
      <c r="C5" s="102"/>
      <c r="D5" s="102"/>
      <c r="E5" s="102"/>
      <c r="F5" s="103"/>
      <c r="G5" s="47">
        <v>8761010.1928633749</v>
      </c>
      <c r="H5" s="14" t="s">
        <v>3</v>
      </c>
      <c r="I5" s="1"/>
    </row>
    <row r="6" spans="1:9" x14ac:dyDescent="0.25">
      <c r="A6" s="1"/>
      <c r="B6" s="101" t="s">
        <v>49</v>
      </c>
      <c r="C6" s="102"/>
      <c r="D6" s="102"/>
      <c r="E6" s="102"/>
      <c r="F6" s="103"/>
      <c r="G6" s="22">
        <f>G5*'Fane 13. Nøgletal'!C21</f>
        <v>79725.19275505672</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7" t="s">
        <v>52</v>
      </c>
      <c r="C9" s="108"/>
      <c r="D9" s="108"/>
      <c r="E9" s="108"/>
      <c r="F9" s="108"/>
      <c r="G9" s="108"/>
      <c r="H9" s="109"/>
      <c r="I9" s="1"/>
    </row>
    <row r="10" spans="1:9" x14ac:dyDescent="0.25">
      <c r="A10" s="1"/>
      <c r="B10" s="101" t="s">
        <v>53</v>
      </c>
      <c r="C10" s="102"/>
      <c r="D10" s="102"/>
      <c r="E10" s="102"/>
      <c r="F10" s="103"/>
      <c r="G10" s="22">
        <f>(G5-G6)*(1+'Fane 13. Nøgletal'!C9)</f>
        <v>8791537.3196096942</v>
      </c>
      <c r="H10" s="14" t="s">
        <v>3</v>
      </c>
      <c r="I10" s="1"/>
    </row>
    <row r="11" spans="1:9" x14ac:dyDescent="0.25">
      <c r="A11" s="1"/>
      <c r="B11" s="104" t="s">
        <v>54</v>
      </c>
      <c r="C11" s="105"/>
      <c r="D11" s="105"/>
      <c r="E11" s="105"/>
      <c r="F11" s="106"/>
      <c r="G11" s="48">
        <v>0</v>
      </c>
      <c r="H11" s="14" t="s">
        <v>3</v>
      </c>
      <c r="I11" s="1"/>
    </row>
    <row r="12" spans="1:9" x14ac:dyDescent="0.25">
      <c r="A12" s="1"/>
      <c r="B12" s="101" t="s">
        <v>55</v>
      </c>
      <c r="C12" s="102"/>
      <c r="D12" s="102"/>
      <c r="E12" s="102"/>
      <c r="F12" s="103"/>
      <c r="G12" s="22">
        <f>G10*'Fane 13. Nøgletal'!C21+G11*'Fane 13. Nøgletal'!C22</f>
        <v>80002.989608448217</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7" t="s">
        <v>56</v>
      </c>
      <c r="C15" s="108"/>
      <c r="D15" s="108"/>
      <c r="E15" s="108"/>
      <c r="F15" s="108"/>
      <c r="G15" s="108"/>
      <c r="H15" s="109"/>
      <c r="I15" s="1"/>
    </row>
    <row r="16" spans="1:9" x14ac:dyDescent="0.25">
      <c r="A16" s="1"/>
      <c r="B16" s="101" t="s">
        <v>57</v>
      </c>
      <c r="C16" s="102"/>
      <c r="D16" s="102"/>
      <c r="E16" s="102"/>
      <c r="F16" s="103"/>
      <c r="G16" s="22">
        <f>(G10+G11-G12)*(1+'Fane 13. Nøgletal'!C11)</f>
        <v>8858759.2601782661</v>
      </c>
      <c r="H16" s="14" t="s">
        <v>3</v>
      </c>
      <c r="I16" s="1"/>
    </row>
    <row r="17" spans="1:9" x14ac:dyDescent="0.25">
      <c r="A17" s="1"/>
      <c r="B17" s="101" t="s">
        <v>101</v>
      </c>
      <c r="C17" s="102"/>
      <c r="D17" s="102"/>
      <c r="E17" s="102"/>
      <c r="F17" s="103"/>
      <c r="G17" s="47">
        <v>29883.802290735475</v>
      </c>
      <c r="H17" s="14" t="s">
        <v>3</v>
      </c>
      <c r="I17" s="1"/>
    </row>
    <row r="18" spans="1:9" x14ac:dyDescent="0.25">
      <c r="A18" s="1"/>
      <c r="B18" s="104" t="s">
        <v>58</v>
      </c>
      <c r="C18" s="105"/>
      <c r="D18" s="105"/>
      <c r="E18" s="105"/>
      <c r="F18" s="106"/>
      <c r="G18" s="47">
        <v>145590.98120311997</v>
      </c>
      <c r="H18" s="14" t="s">
        <v>3</v>
      </c>
      <c r="I18" s="1"/>
    </row>
    <row r="19" spans="1:9" x14ac:dyDescent="0.25">
      <c r="A19" s="1"/>
      <c r="B19" s="101" t="s">
        <v>59</v>
      </c>
      <c r="C19" s="102"/>
      <c r="D19" s="102"/>
      <c r="E19" s="102"/>
      <c r="F19" s="103"/>
      <c r="G19" s="22">
        <f>(G16+G17+G18)*'Fane 13. Nøgletal'!C23</f>
        <v>78597.836179947451</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7" t="s">
        <v>60</v>
      </c>
      <c r="C22" s="108"/>
      <c r="D22" s="108"/>
      <c r="E22" s="108"/>
      <c r="F22" s="108"/>
      <c r="G22" s="108"/>
      <c r="H22" s="109"/>
      <c r="I22" s="1"/>
    </row>
    <row r="23" spans="1:9" x14ac:dyDescent="0.25">
      <c r="A23" s="1"/>
      <c r="B23" s="101" t="s">
        <v>61</v>
      </c>
      <c r="C23" s="102"/>
      <c r="D23" s="102"/>
      <c r="E23" s="102"/>
      <c r="F23" s="103"/>
      <c r="G23" s="22">
        <f>(SUM(G16:G18)-G19)*(1+'Fane 13. Nøgletal'!C11)</f>
        <v>9106986.4593987912</v>
      </c>
      <c r="H23" s="14" t="s">
        <v>3</v>
      </c>
      <c r="I23" s="1"/>
    </row>
    <row r="24" spans="1:9" x14ac:dyDescent="0.25">
      <c r="A24" s="1"/>
      <c r="B24" s="104" t="s">
        <v>62</v>
      </c>
      <c r="C24" s="105"/>
      <c r="D24" s="105"/>
      <c r="E24" s="105"/>
      <c r="F24" s="106"/>
      <c r="G24" s="47">
        <v>58275.381010809608</v>
      </c>
      <c r="H24" s="14" t="s">
        <v>3</v>
      </c>
      <c r="I24" s="1"/>
    </row>
    <row r="25" spans="1:9" x14ac:dyDescent="0.25">
      <c r="A25" s="1"/>
      <c r="B25" s="101" t="s">
        <v>63</v>
      </c>
      <c r="C25" s="102"/>
      <c r="D25" s="102"/>
      <c r="E25" s="102"/>
      <c r="F25" s="103"/>
      <c r="G25" s="22">
        <f>G23*'Fane 13. Nøgletal'!C23+G24*'Fane 13. Nøgletal'!C24</f>
        <v>80885.803017476472</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7" t="s">
        <v>119</v>
      </c>
      <c r="C28" s="108"/>
      <c r="D28" s="108"/>
      <c r="E28" s="108"/>
      <c r="F28" s="108"/>
      <c r="G28" s="108"/>
      <c r="H28" s="109"/>
      <c r="I28" s="1"/>
    </row>
    <row r="29" spans="1:9" x14ac:dyDescent="0.25">
      <c r="A29" s="1"/>
      <c r="B29" s="101" t="s">
        <v>64</v>
      </c>
      <c r="C29" s="102"/>
      <c r="D29" s="102"/>
      <c r="E29" s="102"/>
      <c r="F29" s="103"/>
      <c r="G29" s="22">
        <f>(G23+G24-G25)*(1+'Fane 13. Nøgletal'!C13)</f>
        <v>9195205.4250483084</v>
      </c>
      <c r="H29" s="14" t="s">
        <v>3</v>
      </c>
      <c r="I29" s="1"/>
    </row>
    <row r="30" spans="1:9" x14ac:dyDescent="0.25">
      <c r="A30" s="1"/>
      <c r="B30" s="101" t="s">
        <v>113</v>
      </c>
      <c r="C30" s="102"/>
      <c r="D30" s="102"/>
      <c r="E30" s="102"/>
      <c r="F30" s="103"/>
      <c r="G30" s="47">
        <v>138932.92089936</v>
      </c>
      <c r="H30" s="14" t="s">
        <v>3</v>
      </c>
      <c r="I30" s="1"/>
    </row>
    <row r="31" spans="1:9" x14ac:dyDescent="0.25">
      <c r="A31" s="1"/>
      <c r="B31" s="101" t="s">
        <v>120</v>
      </c>
      <c r="C31" s="102"/>
      <c r="D31" s="102"/>
      <c r="E31" s="102"/>
      <c r="F31" s="103"/>
      <c r="G31" s="22">
        <f>(G29+G30)*'Fane 13. Nøgletal'!C25</f>
        <v>256688.80451356087</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7" t="s">
        <v>124</v>
      </c>
      <c r="C34" s="108"/>
      <c r="D34" s="108"/>
      <c r="E34" s="108"/>
      <c r="F34" s="108"/>
      <c r="G34" s="108"/>
      <c r="H34" s="109"/>
      <c r="I34" s="1"/>
    </row>
    <row r="35" spans="1:9" x14ac:dyDescent="0.25">
      <c r="A35" s="1"/>
      <c r="B35" s="101" t="s">
        <v>67</v>
      </c>
      <c r="C35" s="102"/>
      <c r="D35" s="102"/>
      <c r="E35" s="102"/>
      <c r="F35" s="103"/>
      <c r="G35" s="22">
        <f>(G29+G30-G31)*(1+'Fane 13. Nøgletal'!C13)</f>
        <v>9188194.4258396029</v>
      </c>
      <c r="H35" s="14" t="s">
        <v>3</v>
      </c>
      <c r="I35" s="1"/>
    </row>
    <row r="36" spans="1:9" x14ac:dyDescent="0.25">
      <c r="A36" s="1"/>
      <c r="B36" s="101" t="s">
        <v>129</v>
      </c>
      <c r="C36" s="102"/>
      <c r="D36" s="102"/>
      <c r="E36" s="102"/>
      <c r="F36" s="103"/>
      <c r="G36" s="22">
        <v>106398.77107300003</v>
      </c>
      <c r="H36" s="14" t="s">
        <v>3</v>
      </c>
      <c r="I36" s="1"/>
    </row>
    <row r="37" spans="1:9" x14ac:dyDescent="0.25">
      <c r="A37" s="1"/>
      <c r="B37" s="101" t="s">
        <v>125</v>
      </c>
      <c r="C37" s="102"/>
      <c r="D37" s="102"/>
      <c r="E37" s="102"/>
      <c r="F37" s="103"/>
      <c r="G37" s="22">
        <f>G35*'Fane 13. Nøgletal'!C25+G36*'Fane 13. Nøgletal'!C26</f>
        <v>254250.04852246947</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7" t="s">
        <v>159</v>
      </c>
      <c r="C40" s="108"/>
      <c r="D40" s="108"/>
      <c r="E40" s="108"/>
      <c r="F40" s="108"/>
      <c r="G40" s="108"/>
      <c r="H40" s="109"/>
      <c r="I40" s="1"/>
    </row>
    <row r="41" spans="1:9" x14ac:dyDescent="0.25">
      <c r="A41" s="1"/>
      <c r="B41" s="101" t="s">
        <v>66</v>
      </c>
      <c r="C41" s="102"/>
      <c r="D41" s="102"/>
      <c r="E41" s="102"/>
      <c r="F41" s="103"/>
      <c r="G41" s="22">
        <f>(G35+G36-G37)*(1+'Fane 13. Nøgletal'!C15)</f>
        <v>9362179.3644728251</v>
      </c>
      <c r="H41" s="14" t="s">
        <v>3</v>
      </c>
      <c r="I41" s="1"/>
    </row>
    <row r="42" spans="1:9" x14ac:dyDescent="0.25">
      <c r="A42" s="1"/>
      <c r="B42" s="101" t="s">
        <v>169</v>
      </c>
      <c r="C42" s="102"/>
      <c r="D42" s="102"/>
      <c r="E42" s="102"/>
      <c r="F42" s="103"/>
      <c r="G42" s="9">
        <v>242312.20285104003</v>
      </c>
      <c r="H42" s="14" t="s">
        <v>3</v>
      </c>
      <c r="I42" s="1"/>
    </row>
    <row r="43" spans="1:9" x14ac:dyDescent="0.25">
      <c r="A43" s="1"/>
      <c r="B43" s="101" t="s">
        <v>65</v>
      </c>
      <c r="C43" s="102"/>
      <c r="D43" s="102"/>
      <c r="E43" s="102"/>
      <c r="F43" s="103"/>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7" t="s">
        <v>160</v>
      </c>
      <c r="C46" s="108"/>
      <c r="D46" s="108"/>
      <c r="E46" s="108"/>
      <c r="F46" s="108"/>
      <c r="G46" s="108"/>
      <c r="H46" s="109"/>
      <c r="I46" s="1"/>
    </row>
    <row r="47" spans="1:9" x14ac:dyDescent="0.25">
      <c r="A47" s="1"/>
      <c r="B47" s="101" t="s">
        <v>114</v>
      </c>
      <c r="C47" s="102"/>
      <c r="D47" s="102"/>
      <c r="E47" s="102"/>
      <c r="F47" s="103"/>
      <c r="G47" s="22">
        <f>(G41+G42-G43)*(1+'Fane 13. Nøgletal'!C15)</f>
        <v>9946411.4671205953</v>
      </c>
      <c r="H47" s="14" t="s">
        <v>3</v>
      </c>
      <c r="I47" s="1"/>
    </row>
    <row r="48" spans="1:9" x14ac:dyDescent="0.25">
      <c r="A48" s="1"/>
      <c r="B48" s="101" t="s">
        <v>210</v>
      </c>
      <c r="C48" s="102"/>
      <c r="D48" s="102"/>
      <c r="E48" s="102"/>
      <c r="F48" s="103"/>
      <c r="G48" s="22">
        <f>('Fane 2.1. Økonomisk ramme 2024'!C10+'Fane 2.1. Økonomisk ramme 2024'!C12+'Fane 2.1. Økonomisk ramme 2024'!C14)*(1+'Fane 13. Nøgletal'!C16)</f>
        <v>521078.11671617284</v>
      </c>
      <c r="H48" s="14" t="s">
        <v>3</v>
      </c>
      <c r="I48" s="1"/>
    </row>
    <row r="49" spans="1:9" x14ac:dyDescent="0.25">
      <c r="A49" s="1"/>
      <c r="B49" s="101" t="s">
        <v>211</v>
      </c>
      <c r="C49" s="102"/>
      <c r="D49" s="102"/>
      <c r="E49" s="102"/>
      <c r="F49" s="103"/>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7" t="s">
        <v>130</v>
      </c>
      <c r="C52" s="108"/>
      <c r="D52" s="108"/>
      <c r="E52" s="108"/>
      <c r="F52" s="108"/>
      <c r="G52" s="108"/>
      <c r="H52" s="109"/>
      <c r="I52" s="1"/>
    </row>
    <row r="53" spans="1:9" x14ac:dyDescent="0.25">
      <c r="A53" s="1"/>
      <c r="B53" s="101" t="s">
        <v>131</v>
      </c>
      <c r="C53" s="102"/>
      <c r="D53" s="102"/>
      <c r="E53" s="102"/>
      <c r="F53" s="103"/>
      <c r="G53" s="22">
        <f>(G47+G48-G49)*(1+'Fane 13. Nøgletal'!C16)</f>
        <v>11313262.742210779</v>
      </c>
      <c r="H53" s="14" t="s">
        <v>3</v>
      </c>
      <c r="I53" s="1"/>
    </row>
    <row r="54" spans="1:9" x14ac:dyDescent="0.25">
      <c r="A54" s="1"/>
      <c r="B54" s="101" t="s">
        <v>132</v>
      </c>
      <c r="C54" s="102"/>
      <c r="D54" s="102"/>
      <c r="E54" s="102"/>
      <c r="F54" s="103"/>
      <c r="G54" s="22">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7" t="s">
        <v>147</v>
      </c>
      <c r="C57" s="108"/>
      <c r="D57" s="108"/>
      <c r="E57" s="108"/>
      <c r="F57" s="108"/>
      <c r="G57" s="108"/>
      <c r="H57" s="109"/>
      <c r="I57" s="1"/>
    </row>
    <row r="58" spans="1:9" x14ac:dyDescent="0.25">
      <c r="A58" s="1"/>
      <c r="B58" s="101" t="s">
        <v>148</v>
      </c>
      <c r="C58" s="102"/>
      <c r="D58" s="102"/>
      <c r="E58" s="102"/>
      <c r="F58" s="103"/>
      <c r="G58" s="22">
        <f>(G53-G54)*(1+'Fane 13. Nøgletal'!C16)</f>
        <v>12227374.371781411</v>
      </c>
      <c r="H58" s="14" t="s">
        <v>3</v>
      </c>
      <c r="I58" s="1"/>
    </row>
    <row r="59" spans="1:9" x14ac:dyDescent="0.25">
      <c r="A59" s="1"/>
      <c r="B59" s="101" t="s">
        <v>149</v>
      </c>
      <c r="C59" s="102"/>
      <c r="D59" s="102"/>
      <c r="E59" s="102"/>
      <c r="F59" s="103"/>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7" t="s">
        <v>223</v>
      </c>
      <c r="C62" s="108"/>
      <c r="D62" s="108"/>
      <c r="E62" s="108"/>
      <c r="F62" s="108"/>
      <c r="G62" s="108"/>
      <c r="H62" s="109"/>
      <c r="I62" s="1"/>
    </row>
    <row r="63" spans="1:9" x14ac:dyDescent="0.25">
      <c r="A63" s="1"/>
      <c r="B63" s="101" t="s">
        <v>224</v>
      </c>
      <c r="C63" s="102"/>
      <c r="D63" s="102"/>
      <c r="E63" s="102"/>
      <c r="F63" s="103"/>
      <c r="G63" s="22">
        <f>(G58-G59)*(1+'Fane 13. Nøgletal'!C16)</f>
        <v>13215346.221021349</v>
      </c>
      <c r="H63" s="14" t="s">
        <v>3</v>
      </c>
      <c r="I63" s="1"/>
    </row>
    <row r="64" spans="1:9" x14ac:dyDescent="0.25">
      <c r="A64" s="1"/>
      <c r="B64" s="101" t="s">
        <v>225</v>
      </c>
      <c r="C64" s="102"/>
      <c r="D64" s="102"/>
      <c r="E64" s="102"/>
      <c r="F64" s="103"/>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6WW8EQkbqTrMemq/whtl1fzGn8ER17NloSOoSka3ehz+aGv+qWoShSuJprvz3gpxYFC17b5kAKJwI4getBYlqA==" saltValue="PNpWR6OOeauGQl5XmPMHmg==" spinCount="100000" sheet="1" objects="1" scenarios="1"/>
  <mergeCells count="42">
    <mergeCell ref="B62:H62"/>
    <mergeCell ref="B63:F63"/>
    <mergeCell ref="B64:F64"/>
    <mergeCell ref="B57:H57"/>
    <mergeCell ref="B58:F58"/>
    <mergeCell ref="B59:F59"/>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34:H34"/>
    <mergeCell ref="B12:F12"/>
    <mergeCell ref="B15:H15"/>
    <mergeCell ref="B16:F16"/>
    <mergeCell ref="B18:F18"/>
    <mergeCell ref="B30:F30"/>
    <mergeCell ref="B17:F17"/>
    <mergeCell ref="B22:H22"/>
    <mergeCell ref="B23:F23"/>
    <mergeCell ref="B24:F24"/>
    <mergeCell ref="B25:F25"/>
    <mergeCell ref="B47:F47"/>
    <mergeCell ref="B49:F49"/>
    <mergeCell ref="B36:F36"/>
    <mergeCell ref="B42:F42"/>
    <mergeCell ref="B41:F41"/>
    <mergeCell ref="B40:H40"/>
    <mergeCell ref="B37:F37"/>
    <mergeCell ref="B46:H46"/>
    <mergeCell ref="B48:F48"/>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7" t="s">
        <v>77</v>
      </c>
      <c r="C3" s="97"/>
      <c r="D3" s="97"/>
      <c r="E3" s="97"/>
      <c r="F3" s="97"/>
      <c r="G3" s="97"/>
      <c r="H3" s="1"/>
    </row>
    <row r="4" spans="1:8" ht="15" customHeight="1" x14ac:dyDescent="0.25">
      <c r="A4" s="1"/>
      <c r="B4" s="97"/>
      <c r="C4" s="97"/>
      <c r="D4" s="97"/>
      <c r="E4" s="97"/>
      <c r="F4" s="97"/>
      <c r="G4" s="97"/>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7" t="s">
        <v>9</v>
      </c>
      <c r="C8" s="108"/>
      <c r="D8" s="108"/>
      <c r="E8" s="108"/>
      <c r="F8" s="108"/>
      <c r="G8" s="109"/>
      <c r="H8" s="1"/>
    </row>
    <row r="9" spans="1:8" x14ac:dyDescent="0.25">
      <c r="A9" s="1"/>
      <c r="B9" s="68" t="s">
        <v>150</v>
      </c>
      <c r="C9" s="69"/>
      <c r="D9" s="69"/>
      <c r="E9" s="69"/>
      <c r="F9" s="70"/>
      <c r="G9" s="63">
        <v>5.2682197487321997E-3</v>
      </c>
      <c r="H9" s="1"/>
    </row>
    <row r="10" spans="1:8" x14ac:dyDescent="0.25">
      <c r="A10" s="1"/>
      <c r="B10" s="51"/>
      <c r="C10" s="52"/>
      <c r="D10" s="52"/>
      <c r="E10" s="52"/>
      <c r="F10" s="52"/>
      <c r="G10" s="19"/>
      <c r="H10" s="1"/>
    </row>
    <row r="11" spans="1:8" ht="15" customHeight="1" x14ac:dyDescent="0.25">
      <c r="A11" s="1"/>
      <c r="B11" s="113" t="s">
        <v>236</v>
      </c>
      <c r="C11" s="114"/>
      <c r="D11" s="114"/>
      <c r="E11" s="114"/>
      <c r="F11" s="114"/>
      <c r="G11" s="115"/>
      <c r="H11" s="1"/>
    </row>
    <row r="12" spans="1:8" ht="13.5" customHeight="1" x14ac:dyDescent="0.25">
      <c r="A12" s="1"/>
      <c r="B12" s="116"/>
      <c r="C12" s="117"/>
      <c r="D12" s="117"/>
      <c r="E12" s="117"/>
      <c r="F12" s="117"/>
      <c r="G12" s="11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68sMqv7+QIhedYHuCD1cCBB5UqJGAxXcVI+9T6Mid9nUbD0i2AZDLkWRfAvd1RX4DnaxlQzCH0c00482WWlqog==" saltValue="lWRBpo/vJcr3opwj619LXQ=="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2024-04-08T12:36:26Z</dcterms:modified>
</cp:coreProperties>
</file>