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rederiksberg Kloak AS (S02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8" i="32" l="1"/>
  <c r="C32" i="2" l="1"/>
  <c r="E24" i="32" l="1"/>
  <c r="E32" i="32" s="1"/>
  <c r="E34" i="32" s="1"/>
  <c r="C20" i="23" l="1"/>
  <c r="C20" i="22"/>
  <c r="C20" i="15"/>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<sst xmlns="http://schemas.openxmlformats.org/spreadsheetml/2006/main" count="607" uniqueCount="289">
  <si>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</si>
  <si>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</si>
  <si>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</si>
  <si>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</si>
  <si>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</si>
  <si>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</si>
  <si>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</si>
  <si>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</si>
  <si>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</si>
  <si>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</si>
  <si>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</si>
  <si>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</si>
  <si>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</si>
  <si>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</si>
  <si>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</si>
  <si>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</si>
  <si>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</si>
  <si>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</si>
  <si>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</si>
  <si>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</si>
  <si>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</si>
  <si>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</si>
  <si>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</si>
  <si>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</si>
  <si>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</si>
  <si>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</si>
  <si>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</si>
  <si>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</si>
  <si>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</si>
  <si>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</si>
  <si>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</si>
  <si>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</si>
  <si>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</si>
  <si>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</si>
  <si>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</si>
  <si>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</si>
  <si>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</si>
  <si>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</si>
  <si>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</si>
  <si>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</si>
  <si>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</si>
  <si>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</si>
  <si>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</si>
  <si>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</si>
  <si>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</si>
  <si>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</si>
  <si>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</si>
  <si>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</si>
  <si>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</si>
  <si>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</si>
  <si>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</si>
  <si>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</si>
  <si>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</si>
  <si>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</si>
  <si>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</si>
  <si>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</si>
  <si>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</si>
  <si>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</si>
  <si>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</si>
  <si>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</si>
  <si>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</si>
  <si>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</si>
  <si>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</si>
  <si>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</si>
  <si>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</si>
  <si>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</si>
  <si>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</si>
  <si>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</si>
  <si>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</si>
  <si>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</si>
  <si>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</si>
  <si>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</si>
  <si>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</si>
  <si>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</si>
  <si>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</si>
  <si>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</si>
  <si>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</si>
  <si>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</si>
  <si>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</si>
  <si>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</si>
  <si>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</si>
  <si>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</si>
  <si>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</si>
  <si>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</si>
  <si>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</si>
  <si>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</si>
  <si>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</si>
  <si>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</si>
  <si>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</si>
  <si>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</si>
  <si>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</si>
  <si>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</si>
  <si>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</si>
  <si>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</si>
  <si>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</si>
  <si>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</si>
  <si>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</si>
  <si>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</si>
  <si>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</si>
  <si>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</si>
  <si>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</si>
  <si>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</si>
  <si>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</si>
  <si>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</si>
  <si>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</si>
  <si>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</si>
  <si>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</si>
  <si>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</si>
  <si>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</si>
  <si>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</si>
  <si>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</si>
  <si>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</si>
  <si>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</si>
  <si>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</si>
  <si>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</si>
  <si>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</si>
  <si>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</si>
  <si>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</si>
  <si>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</si>
  <si>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</si>
  <si>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</si>
  <si>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</si>
  <si>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</si>
  <si>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</si>
  <si>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</si>
  <si>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</si>
  <si>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</si>
  <si>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</si>
  <si>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</si>
  <si>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</si>
  <si>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</si>
  <si>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</si>
  <si>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</si>
  <si>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</si>
  <si>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</si>
  <si>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</si>
  <si>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</si>
  <si>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</si>
  <si>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</si>
  <si>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</si>
  <si>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</si>
  <si>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</si>
  <si>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</si>
  <si>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</si>
  <si>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</si>
  <si>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</si>
  <si>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</si>
  <si>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</si>
  <si>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</si>
  <si>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</si>
  <si>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</si>
  <si>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</si>
  <si>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</si>
  <si>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</si>
  <si>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</si>
  <si>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</si>
  <si>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</si>
  <si>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</si>
  <si>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</si>
  <si>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</si>
  <si>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</si>
  <si>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</si>
  <si>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</si>
  <si>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</si>
  <si>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</si>
  <si>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</si>
  <si>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</si>
  <si>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</si>
  <si>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</si>
  <si>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</si>
  <si>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</si>
  <si>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</si>
  <si>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</si>
  <si>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</si>
  <si>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</si>
  <si>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</si>
  <si>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</si>
  <si>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</si>
  <si>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</si>
  <si>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</si>
  <si>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</si>
  <si>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</si>
  <si>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</si>
  <si>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</si>
  <si>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</si>
  <si>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</si>
  <si>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</si>
  <si>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</si>
  <si>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</si>
  <si>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</si>
  <si>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</si>
  <si>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</si>
  <si>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</si>
  <si>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</si>
  <si>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</si>
  <si>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</si>
  <si>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</si>
  <si>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</si>
  <si>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</si>
  <si>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</si>
  <si>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</si>
  <si>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</si>
  <si>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</si>
  <si>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</si>
  <si>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</si>
  <si>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</si>
  <si>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</si>
  <si>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</si>
  <si>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</si>
  <si>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</si>
  <si>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</si>
  <si>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</si>
  <si>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</si>
  <si>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</si>
  <si>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</si>
  <si>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</si>
  <si>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</si>
  <si>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</si>
  <si>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</si>
  <si>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</si>
  <si>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</si>
  <si>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</si>
  <si>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</si>
  <si>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</si>
  <si>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</si>
  <si>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</si>
  <si>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</si>
  <si>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</si>
  <si>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</si>
  <si>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</si>
  <si>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</si>
  <si>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</si>
  <si>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</si>
  <si>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</si>
  <si>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</si>
  <si>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</si>
  <si>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</si>
  <si>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</si>
  <si>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</si>
  <si>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</si>
  <si>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</si>
  <si>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</si>
  <si>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</si>
  <si>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</si>
  <si>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</si>
  <si>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</si>
  <si>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</si>
  <si>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</si>
  <si>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</si>
  <si>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</si>
  <si>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</si>
  <si>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</si>
  <si>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</si>
  <si>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</si>
  <si>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</si>
  <si>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</si>
  <si>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</si>
  <si>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</si>
  <si>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</si>
  <si>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</si>
  <si>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</si>
  <si>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</si>
  <si>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</si>
  <si>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</si>
  <si>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</si>
  <si>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</si>
  <si>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</si>
  <si>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</si>
  <si>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Tjenestemandspensioner</t>
  </si>
  <si>
    <t>Klimatilpasningsprojekter mm.</t>
  </si>
  <si>
    <t>Klimatilpasningsprojekt mm.</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</si>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</sst>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VI24gZM1I6DTimEc5TEuI5SvPZvCHKEspP2PhUgNvtC9g4ys6LC+F4U2IsnF6MWT5+hJJ7UdhpJtyhdVOzLXNA==" saltValue="vlFR3xWEZlgP0ZWEzXL7P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187351</v>
      </c>
      <c r="D10" s="14" t="s">
        <v>3</v>
      </c>
      <c r="E10" s="1"/>
      <c r="F10" s="1"/>
    </row>
    <row r="11" spans="1:6" x14ac:dyDescent="0.25">
      <c r="A11" s="1"/>
      <c r="B11" s="94" t="s">
        <v>266</v>
      </c>
      <c r="C11" s="9">
        <v>39311657</v>
      </c>
      <c r="D11" s="14" t="s">
        <v>3</v>
      </c>
      <c r="E11" s="1"/>
      <c r="F11" s="1"/>
    </row>
    <row r="12" spans="1:6" x14ac:dyDescent="0.25">
      <c r="A12" s="1"/>
      <c r="B12" s="94" t="s">
        <v>267</v>
      </c>
      <c r="C12" s="9">
        <v>63778.3</v>
      </c>
      <c r="D12" s="14" t="s">
        <v>3</v>
      </c>
      <c r="E12" s="1"/>
      <c r="F12" s="1"/>
    </row>
    <row r="13" spans="1:6" x14ac:dyDescent="0.25">
      <c r="A13" s="1"/>
      <c r="B13" s="94" t="s">
        <v>268</v>
      </c>
      <c r="C13" s="9">
        <v>51338</v>
      </c>
      <c r="D13" s="14" t="s">
        <v>3</v>
      </c>
      <c r="E13" s="1"/>
      <c r="F13" s="1"/>
    </row>
    <row r="14" spans="1:6" x14ac:dyDescent="0.25">
      <c r="A14" s="1"/>
      <c r="B14" s="32" t="s">
        <v>200</v>
      </c>
      <c r="C14" s="12">
        <f>SUM(C10:C13)</f>
        <v>39614124.299999997</v>
      </c>
      <c r="D14" s="13" t="s">
        <v>3</v>
      </c>
      <c r="E14" s="1"/>
      <c r="F14" s="1"/>
    </row>
    <row r="15" spans="1:6" x14ac:dyDescent="0.25">
      <c r="A15" s="1"/>
      <c r="B15" s="32" t="s">
        <v>201</v>
      </c>
      <c r="C15" s="12">
        <f>C14*(1+'Fane 15. Nøgletal'!C15)^2</f>
        <v>42484855.306732848</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6335658</v>
      </c>
      <c r="D19" s="14" t="s">
        <v>3</v>
      </c>
      <c r="E19" s="1"/>
      <c r="F19" s="1"/>
    </row>
    <row r="20" spans="1:6" x14ac:dyDescent="0.25">
      <c r="A20" s="1"/>
      <c r="B20" s="94" t="s">
        <v>129</v>
      </c>
      <c r="C20" s="9">
        <v>6340168</v>
      </c>
      <c r="D20" s="14" t="s">
        <v>3</v>
      </c>
      <c r="E20" s="1"/>
      <c r="F20" s="1"/>
    </row>
    <row r="21" spans="1:6" x14ac:dyDescent="0.25">
      <c r="A21" s="1"/>
      <c r="B21" s="94" t="s">
        <v>155</v>
      </c>
      <c r="C21" s="9">
        <v>5950533</v>
      </c>
      <c r="D21" s="14" t="s">
        <v>3</v>
      </c>
      <c r="E21" s="1"/>
      <c r="F21" s="1"/>
    </row>
    <row r="22" spans="1:6" x14ac:dyDescent="0.25">
      <c r="A22" s="1"/>
      <c r="B22" s="33" t="s">
        <v>202</v>
      </c>
      <c r="C22" s="9">
        <v>1717694</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WJjAVOcLV2MDxX6xq+gaFurZR7zDM1/JlFDZGwP28cAT1f/K0OgO8DK+9w+dP6ZSwnz7LfKwdzep2fYAudqUrw==" saltValue="BuZmFvN248y7NsYVCkRo3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2467287.0449371785</v>
      </c>
      <c r="F9" s="14" t="s">
        <v>3</v>
      </c>
      <c r="G9" s="1"/>
    </row>
    <row r="10" spans="1:7" x14ac:dyDescent="0.25">
      <c r="A10" s="1"/>
      <c r="B10" s="136" t="s">
        <v>263</v>
      </c>
      <c r="C10" s="137"/>
      <c r="D10" s="138"/>
      <c r="E10" s="9">
        <v>2467287.0449371785</v>
      </c>
      <c r="F10" s="14" t="s">
        <v>3</v>
      </c>
      <c r="G10" s="1"/>
    </row>
    <row r="11" spans="1:7" x14ac:dyDescent="0.25">
      <c r="A11" s="1"/>
      <c r="B11" s="32"/>
      <c r="C11" s="27"/>
      <c r="D11" s="27"/>
      <c r="E11" s="27"/>
      <c r="F11" s="19"/>
      <c r="G11" s="1"/>
    </row>
    <row r="12" spans="1:7" ht="67.5" customHeight="1" x14ac:dyDescent="0.25">
      <c r="A12" s="1"/>
      <c r="B12" s="121" t="s">
        <v>287</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282</v>
      </c>
      <c r="C15" s="137"/>
      <c r="D15" s="138"/>
      <c r="E15" s="9">
        <v>-3409990.5</v>
      </c>
      <c r="F15" s="14" t="s">
        <v>3</v>
      </c>
      <c r="G15" s="1"/>
    </row>
    <row r="16" spans="1:7" x14ac:dyDescent="0.25">
      <c r="A16" s="1"/>
      <c r="B16" s="136" t="s">
        <v>283</v>
      </c>
      <c r="C16" s="137"/>
      <c r="D16" s="138"/>
      <c r="E16" s="9">
        <v>-3409990.5</v>
      </c>
      <c r="F16" s="14" t="s">
        <v>3</v>
      </c>
      <c r="G16" s="1"/>
    </row>
    <row r="17" spans="1:7" x14ac:dyDescent="0.25">
      <c r="A17" s="1"/>
      <c r="B17" s="32"/>
      <c r="C17" s="27"/>
      <c r="D17" s="27"/>
      <c r="E17" s="27"/>
      <c r="F17" s="19"/>
      <c r="G17" s="1"/>
    </row>
    <row r="18" spans="1:7" ht="31.5" customHeight="1" x14ac:dyDescent="0.25">
      <c r="A18" s="1"/>
      <c r="B18" s="121" t="s">
        <v>288</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86021360.231645271</v>
      </c>
      <c r="F21" s="14" t="s">
        <v>3</v>
      </c>
      <c r="G21" s="1"/>
    </row>
    <row r="22" spans="1:7" x14ac:dyDescent="0.25">
      <c r="A22" s="1"/>
      <c r="B22" s="91" t="s">
        <v>207</v>
      </c>
      <c r="C22" s="92"/>
      <c r="D22" s="93"/>
      <c r="E22" s="9">
        <v>90312730.629999995</v>
      </c>
      <c r="F22" s="14" t="s">
        <v>3</v>
      </c>
      <c r="G22" s="1"/>
    </row>
    <row r="23" spans="1:7" x14ac:dyDescent="0.25">
      <c r="A23" s="1"/>
      <c r="B23" s="91" t="s">
        <v>33</v>
      </c>
      <c r="C23" s="92"/>
      <c r="D23" s="93"/>
      <c r="E23" s="9">
        <v>0</v>
      </c>
      <c r="F23" s="14" t="s">
        <v>3</v>
      </c>
      <c r="G23" s="1"/>
    </row>
    <row r="24" spans="1:7" x14ac:dyDescent="0.25">
      <c r="A24" s="1"/>
      <c r="B24" s="88" t="s">
        <v>271</v>
      </c>
      <c r="C24" s="89"/>
      <c r="D24" s="96"/>
      <c r="E24" s="72">
        <f>E21-(E22-E23)</f>
        <v>-4291370.398354724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4" t="s">
        <v>285</v>
      </c>
      <c r="C28" s="135"/>
      <c r="D28" s="154"/>
      <c r="E28" s="73">
        <f>E16</f>
        <v>-3409990.5</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-1824083.3534175456</v>
      </c>
      <c r="F32" s="14" t="s">
        <v>3</v>
      </c>
      <c r="G32" s="1"/>
    </row>
    <row r="33" spans="1:7" x14ac:dyDescent="0.25">
      <c r="A33" s="1"/>
      <c r="B33" s="155" t="s">
        <v>102</v>
      </c>
      <c r="C33" s="156"/>
      <c r="D33" s="157"/>
      <c r="E33" s="9">
        <v>4</v>
      </c>
      <c r="F33" s="14" t="s">
        <v>20</v>
      </c>
      <c r="G33" s="1"/>
    </row>
    <row r="34" spans="1:7" x14ac:dyDescent="0.25">
      <c r="A34" s="1"/>
      <c r="B34" s="150" t="s">
        <v>144</v>
      </c>
      <c r="C34" s="150"/>
      <c r="D34" s="150"/>
      <c r="E34" s="73">
        <f>E32/E33</f>
        <v>-456020.83835438639</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49"/>
      <c r="C39" s="49"/>
      <c r="D39" s="49"/>
      <c r="E39" s="49"/>
      <c r="F39" s="49"/>
    </row>
    <row r="40" spans="1:7" x14ac:dyDescent="0.25">
      <c r="A40" s="49"/>
      <c r="B40" s="49"/>
      <c r="C40" s="49"/>
      <c r="D40" s="49"/>
      <c r="E40" s="49"/>
      <c r="F40" s="49"/>
      <c r="G40" s="49"/>
    </row>
    <row r="41" spans="1:7" x14ac:dyDescent="0.25">
      <c r="A41" s="49"/>
      <c r="B41" s="49"/>
      <c r="C41" s="49"/>
      <c r="D41" s="49"/>
      <c r="E41" s="49"/>
      <c r="F41" s="49"/>
      <c r="G41" s="49"/>
    </row>
  </sheetData>
  <sheetProtection algorithmName="SHA-512" hashValue="YJXZ6/O0lLGbGAtXn8qh9yitnnGrdv+re/GOxLsx/8U7KyK7FQMwZR9Vuo/ldtzbJOfDXJNwikY32Wd8Varzqg==" saltValue="BLodoK66jdrWnkl9havHFg=="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8" t="s">
        <v>273</v>
      </c>
      <c r="C10" s="159"/>
      <c r="D10" s="159"/>
      <c r="E10" s="159"/>
      <c r="F10" s="160"/>
      <c r="G10" s="9">
        <v>0</v>
      </c>
      <c r="H10" s="9" t="s">
        <v>3</v>
      </c>
      <c r="I10" s="1"/>
    </row>
    <row r="11" spans="1:9" x14ac:dyDescent="0.25">
      <c r="A11" s="1"/>
      <c r="B11" s="158" t="s">
        <v>274</v>
      </c>
      <c r="C11" s="159"/>
      <c r="D11" s="159"/>
      <c r="E11" s="159"/>
      <c r="F11" s="160"/>
      <c r="G11" s="9">
        <v>0</v>
      </c>
      <c r="H11" s="9" t="s">
        <v>3</v>
      </c>
      <c r="I11" s="1"/>
    </row>
    <row r="12" spans="1:9" x14ac:dyDescent="0.25">
      <c r="A12" s="1"/>
      <c r="B12" s="158" t="s">
        <v>275</v>
      </c>
      <c r="C12" s="159"/>
      <c r="D12" s="159"/>
      <c r="E12" s="159"/>
      <c r="F12" s="160"/>
      <c r="G12" s="9">
        <v>0</v>
      </c>
      <c r="H12" s="9" t="s">
        <v>3</v>
      </c>
      <c r="I12" s="1"/>
    </row>
    <row r="13" spans="1:9" x14ac:dyDescent="0.25">
      <c r="A13" s="1"/>
      <c r="B13" s="158" t="s">
        <v>276</v>
      </c>
      <c r="C13" s="159"/>
      <c r="D13" s="159"/>
      <c r="E13" s="159"/>
      <c r="F13" s="160"/>
      <c r="G13" s="9">
        <v>0</v>
      </c>
      <c r="H13" s="9" t="s">
        <v>3</v>
      </c>
      <c r="I13" s="1"/>
    </row>
    <row r="14" spans="1:9" x14ac:dyDescent="0.25">
      <c r="A14" s="1"/>
      <c r="B14" s="158" t="s">
        <v>277</v>
      </c>
      <c r="C14" s="159"/>
      <c r="D14" s="159"/>
      <c r="E14" s="159"/>
      <c r="F14" s="160"/>
      <c r="G14" s="9">
        <v>0</v>
      </c>
      <c r="H14" s="9" t="s">
        <v>3</v>
      </c>
      <c r="I14" s="1"/>
    </row>
    <row r="15" spans="1:9" x14ac:dyDescent="0.25">
      <c r="A15" s="1"/>
      <c r="B15" s="158" t="s">
        <v>278</v>
      </c>
      <c r="C15" s="159"/>
      <c r="D15" s="159"/>
      <c r="E15" s="159"/>
      <c r="F15" s="160"/>
      <c r="G15" s="9">
        <v>0</v>
      </c>
      <c r="H15" s="9" t="s">
        <v>3</v>
      </c>
      <c r="I15" s="1"/>
    </row>
    <row r="16" spans="1:9" x14ac:dyDescent="0.25">
      <c r="A16" s="1"/>
      <c r="B16" s="158" t="s">
        <v>279</v>
      </c>
      <c r="C16" s="159"/>
      <c r="D16" s="159"/>
      <c r="E16" s="159"/>
      <c r="F16" s="160"/>
      <c r="G16" s="9">
        <v>0</v>
      </c>
      <c r="H16" s="9" t="s">
        <v>3</v>
      </c>
      <c r="I16" s="1"/>
    </row>
    <row r="17" spans="1:9" x14ac:dyDescent="0.25">
      <c r="A17" s="1"/>
      <c r="B17" s="158" t="s">
        <v>280</v>
      </c>
      <c r="C17" s="159"/>
      <c r="D17" s="159"/>
      <c r="E17" s="159"/>
      <c r="F17" s="160"/>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ghHIwNtknDyHP9hAjTiPnDsgQRpTeSwfy15RMqoXBEw/Mj0VLQ7Y5+yiLYqtF1b2Wmt26bSl8KQnq634s4B6mw==" saltValue="AhzZJTHxGmFEtQlElebxi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4"/>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6614584</v>
      </c>
      <c r="F14" s="8" t="s">
        <v>3</v>
      </c>
      <c r="G14" s="1"/>
    </row>
    <row r="15" spans="1:7" x14ac:dyDescent="0.25">
      <c r="A15" s="1"/>
      <c r="B15" s="121" t="s">
        <v>211</v>
      </c>
      <c r="C15" s="122"/>
      <c r="D15" s="123"/>
      <c r="E15" s="9">
        <v>6573250.8199999994</v>
      </c>
      <c r="F15" s="8" t="s">
        <v>3</v>
      </c>
      <c r="G15" s="1"/>
    </row>
    <row r="16" spans="1:7" x14ac:dyDescent="0.25">
      <c r="A16" s="1"/>
      <c r="B16" s="134" t="s">
        <v>101</v>
      </c>
      <c r="C16" s="135"/>
      <c r="D16" s="154"/>
      <c r="E16" s="10">
        <f>E15-E14</f>
        <v>-41333.180000000633</v>
      </c>
      <c r="F16" s="11" t="s">
        <v>3</v>
      </c>
      <c r="G16" s="1"/>
    </row>
    <row r="17" spans="1:7" x14ac:dyDescent="0.25">
      <c r="A17" s="1"/>
      <c r="B17" s="32" t="s">
        <v>212</v>
      </c>
      <c r="C17" s="27"/>
      <c r="D17" s="27"/>
      <c r="E17" s="12">
        <f>E12+E16</f>
        <v>-41333.180000000633</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ufsxiYg5TvoX5udfor/vN+QIICMhEbcGQgQ2VDNipcnsYdK6fVc8Q15dfm3rT7OrCACNs65JKtwjO9Bx1pIcw==" saltValue="8pTMGQEYe2eMKMhsIznSw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1" t="s">
        <v>245</v>
      </c>
      <c r="E9" s="162"/>
      <c r="F9" s="161" t="s">
        <v>2</v>
      </c>
      <c r="G9" s="162"/>
      <c r="H9" s="161" t="s">
        <v>244</v>
      </c>
      <c r="I9" s="162"/>
      <c r="J9" s="161" t="s">
        <v>30</v>
      </c>
      <c r="K9" s="162"/>
      <c r="L9" s="1"/>
    </row>
    <row r="10" spans="1:12" x14ac:dyDescent="0.25">
      <c r="A10" s="1"/>
      <c r="B10" s="97" t="s">
        <v>281</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mYz6/wnLBK9oFHLX0ZXyUhI+FXeSbQ/ZvudNA2z0SUgUhQkoQkHRKOSVEpxbPgGCAcXLqr2xhgramdkTaQx9Q==" saltValue="J+K8ayi0O2OsL3aBsUwNu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269</v>
      </c>
      <c r="C11" s="21">
        <v>1106337</v>
      </c>
      <c r="D11" s="14" t="s">
        <v>3</v>
      </c>
      <c r="E11" s="9">
        <v>92419</v>
      </c>
      <c r="F11" s="14" t="s">
        <v>3</v>
      </c>
      <c r="G11" s="1"/>
    </row>
    <row r="12" spans="1:7" x14ac:dyDescent="0.25">
      <c r="A12" s="1"/>
      <c r="B12" s="32" t="s">
        <v>156</v>
      </c>
      <c r="C12" s="12">
        <f>SUM(C10:C11)</f>
        <v>1106337</v>
      </c>
      <c r="D12" s="13" t="s">
        <v>3</v>
      </c>
      <c r="E12" s="12">
        <f>SUM(E10:E11)</f>
        <v>92419</v>
      </c>
      <c r="F12" s="13" t="s">
        <v>3</v>
      </c>
      <c r="G12" s="1"/>
    </row>
    <row r="13" spans="1:7" x14ac:dyDescent="0.25">
      <c r="A13" s="1"/>
      <c r="B13" s="32" t="s">
        <v>213</v>
      </c>
      <c r="C13" s="12">
        <f>C12*(1+'Fane 15. Nøgletal'!C15)</f>
        <v>1145722.5972000002</v>
      </c>
      <c r="D13" s="13" t="s">
        <v>3</v>
      </c>
      <c r="E13" s="12">
        <f>E12*(1+'Fane 15. Nøgletal'!C15)</f>
        <v>95709.116400000014</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J8WOBSPiZDKFA3kwwlQWdVRm8+75EpE2DUSB6Up5rI6fwzR4MpXcm80sPK05rpVC+EvqL9YYqDwAlMd8y2/2Q==" saltValue="xw32k2OCYYeT8Rm6zceIe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270</v>
      </c>
      <c r="C10" s="21">
        <v>642662</v>
      </c>
      <c r="D10" s="14" t="s">
        <v>3</v>
      </c>
      <c r="E10" s="9">
        <v>0</v>
      </c>
      <c r="F10" s="14" t="s">
        <v>3</v>
      </c>
      <c r="G10" s="1"/>
    </row>
    <row r="11" spans="1:7" x14ac:dyDescent="0.25">
      <c r="A11" s="1"/>
      <c r="B11" s="32" t="s">
        <v>232</v>
      </c>
      <c r="C11" s="12">
        <f>SUM(C10:C10)</f>
        <v>642662</v>
      </c>
      <c r="D11" s="13" t="s">
        <v>3</v>
      </c>
      <c r="E11" s="12">
        <f>SUM(E10:E10)</f>
        <v>0</v>
      </c>
      <c r="F11" s="13" t="s">
        <v>3</v>
      </c>
      <c r="G11" s="1"/>
    </row>
    <row r="12" spans="1:7" x14ac:dyDescent="0.25">
      <c r="A12" s="1"/>
      <c r="B12" s="32" t="s">
        <v>136</v>
      </c>
      <c r="C12" s="12">
        <f>C11*(1+'Fane 15. Nøgletal'!C15)^2</f>
        <v>689234.01851232001</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3"/>
      <c r="C28" s="163"/>
      <c r="D28" s="163"/>
      <c r="E28" s="163"/>
      <c r="F28" s="163"/>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Af4UFxeIQjbLexpjZUMwIGW5tjuJhBEkDYtWC4FGbFFa8YNeCCtog46oWYdKhezExo7NV0r9JOaRAERL+YbMw==" saltValue="JwQK+yu25MJS35QGQ8NGy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8" t="s">
        <v>224</v>
      </c>
      <c r="C10" s="159"/>
      <c r="D10" s="160"/>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8" t="s">
        <v>224</v>
      </c>
      <c r="C16" s="159"/>
      <c r="D16" s="160"/>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8" t="s">
        <v>224</v>
      </c>
      <c r="C22" s="159"/>
      <c r="D22" s="160"/>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8" t="s">
        <v>224</v>
      </c>
      <c r="C28" s="159"/>
      <c r="D28" s="160"/>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3dSuMeJiGRKt4QVqH3rWpVQcicpVcVl4utM0cfHzq3Uu8MrriqB3H1uqTwY0CmnBrUa2TyAJTvBq4ZocEW0/jQ==" saltValue="YZztAGXDOPvFjZbxAI4ut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272</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n0xwmUjVwau912dnZktZhz61mS/I/DyEwsC0eLBQeqmug8d4qymskW+QCAjNnno3w1oqDPmC5GyjqQkhdGVzw==" saltValue="RB+sxWDSwac9HxsBLIdLU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Msfz5j8XiA5GsDPCWgEEhigNQJ/ESQJYEGP2Y5ah9B7bQ4/J/ytQtOWVCBSuoBk/kPJwgCvjuK4QGxmot9gsg==" saltValue="sxmD0hB+/pzp274mI4ymV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6"/>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51085264.313411243</v>
      </c>
      <c r="D9" s="8" t="s">
        <v>3</v>
      </c>
      <c r="E9" s="1"/>
    </row>
    <row r="10" spans="1:5" ht="17.25" customHeight="1" x14ac:dyDescent="0.25">
      <c r="A10" s="1"/>
      <c r="B10" s="82" t="s">
        <v>39</v>
      </c>
      <c r="C10" s="7">
        <f>'Fane 11.1. Varige tillæg'!C13</f>
        <v>1145722.5972000002</v>
      </c>
      <c r="D10" s="8" t="s">
        <v>3</v>
      </c>
      <c r="E10" s="1"/>
    </row>
    <row r="11" spans="1:5" ht="17.25" customHeight="1" x14ac:dyDescent="0.25">
      <c r="A11" s="1"/>
      <c r="B11" s="82" t="s">
        <v>40</v>
      </c>
      <c r="C11" s="9">
        <f>'Fane 11.1. Varige tillæg'!E13</f>
        <v>95709.116400000014</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212776.34123841711</v>
      </c>
      <c r="D16" s="8" t="s">
        <v>3</v>
      </c>
      <c r="E16" s="1"/>
    </row>
    <row r="17" spans="1:5" ht="17.25" customHeight="1" x14ac:dyDescent="0.25">
      <c r="A17" s="1"/>
      <c r="B17" s="82" t="s">
        <v>10</v>
      </c>
      <c r="C17" s="44">
        <f>-SUM(C9,C10:C16)*'Fane 5. Individuelt eff. krav'!G9</f>
        <v>-262563.542566619</v>
      </c>
      <c r="D17" s="8" t="s">
        <v>3</v>
      </c>
      <c r="E17" s="1"/>
    </row>
    <row r="18" spans="1:5" ht="17.25" customHeight="1" x14ac:dyDescent="0.25">
      <c r="A18" s="1"/>
      <c r="B18" s="82" t="s">
        <v>24</v>
      </c>
      <c r="C18" s="44">
        <f>-'Fane 4.1. Gen. krav - drift'!G45</f>
        <v>-453766.62428668758</v>
      </c>
      <c r="D18" s="8" t="s">
        <v>3</v>
      </c>
      <c r="E18" s="1"/>
    </row>
    <row r="19" spans="1:5" ht="17.25" customHeight="1" x14ac:dyDescent="0.25">
      <c r="A19" s="1"/>
      <c r="B19" s="82" t="s">
        <v>25</v>
      </c>
      <c r="C19" s="44">
        <f>-'Fane 4.2. Gen. krav - anlæg'!G43</f>
        <v>-473048.76198250364</v>
      </c>
      <c r="D19" s="8" t="s">
        <v>3</v>
      </c>
      <c r="E19" s="48"/>
    </row>
    <row r="20" spans="1:5" ht="17.25" customHeight="1" x14ac:dyDescent="0.25">
      <c r="A20" s="1"/>
      <c r="B20" s="88" t="s">
        <v>21</v>
      </c>
      <c r="C20" s="10">
        <f>SUM(C9:C19)</f>
        <v>51350093.439413853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48820513.306732848</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689234.01851232001</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-17229.094967515608</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672004.92354480445</v>
      </c>
      <c r="D30" s="11" t="s">
        <v>3</v>
      </c>
      <c r="E30" s="1"/>
    </row>
    <row r="31" spans="1:5" x14ac:dyDescent="0.25">
      <c r="A31" s="1"/>
      <c r="B31" s="32" t="s">
        <v>143</v>
      </c>
      <c r="C31" s="27"/>
      <c r="D31" s="19"/>
      <c r="E31" s="1"/>
    </row>
    <row r="32" spans="1:5" x14ac:dyDescent="0.25">
      <c r="A32" s="1"/>
      <c r="B32" s="30" t="s">
        <v>180</v>
      </c>
      <c r="C32" s="10">
        <f>'Fane 7. Kontrol af ØR2021'!E28</f>
        <v>-3409990.5</v>
      </c>
      <c r="D32" s="11" t="s">
        <v>3</v>
      </c>
      <c r="E32" s="1"/>
    </row>
    <row r="33" spans="1:5" ht="15" customHeight="1" x14ac:dyDescent="0.25">
      <c r="A33" s="1"/>
      <c r="B33" s="32" t="s">
        <v>185</v>
      </c>
      <c r="C33" s="27"/>
      <c r="D33" s="19"/>
      <c r="E33" s="1"/>
    </row>
    <row r="34" spans="1:5" x14ac:dyDescent="0.25">
      <c r="A34" s="1"/>
      <c r="B34" s="30" t="s">
        <v>185</v>
      </c>
      <c r="C34" s="10">
        <f>'Fane 9. Korrektion af ØR2021'!E17</f>
        <v>-41333.180000000633</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97391287.989691496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HvFB9T6EZjjwUTcc3FRTe9aQ4dAQcpfkzJpK714TG18OWAJusoZwMGJKdz87uoo4q/jUzPuwkUQHwI8WiR6svQ==" saltValue="+s2FI1pvaSYKM9ihxALJd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bElzXblRARUmnYAjaNmGPLWhBAhYFK3cZegpdipsh46rgoXnz2q6IAoNi+78JAl1NFis3qSA2ySqb//3mkcOPA==" saltValue="RTbLX3pDahegI/ZsZCe8n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51350093.439413853</v>
      </c>
      <c r="D9" s="8" t="s">
        <v>3</v>
      </c>
      <c r="E9" s="1"/>
    </row>
    <row r="10" spans="1:5" ht="15" customHeight="1" x14ac:dyDescent="0.25">
      <c r="A10" s="1"/>
      <c r="B10" s="25" t="s">
        <v>19</v>
      </c>
      <c r="C10" s="7">
        <f>SUM(C9:C9)*'Fane 15. Nøgletal'!C15</f>
        <v>1828063.3264431332</v>
      </c>
      <c r="D10" s="8" t="s">
        <v>3</v>
      </c>
      <c r="E10" s="1"/>
    </row>
    <row r="11" spans="1:5" ht="15" customHeight="1" x14ac:dyDescent="0.25">
      <c r="A11" s="1"/>
      <c r="B11" s="25" t="s">
        <v>10</v>
      </c>
      <c r="C11" s="9">
        <f>-SUM(C9:C10)*'Fane 5. Individuelt eff. krav'!G9</f>
        <v>-265755.33781043929</v>
      </c>
      <c r="D11" s="8" t="s">
        <v>3</v>
      </c>
      <c r="E11" s="1"/>
    </row>
    <row r="12" spans="1:5" ht="15" customHeight="1" x14ac:dyDescent="0.25">
      <c r="A12" s="1"/>
      <c r="B12" s="25" t="s">
        <v>24</v>
      </c>
      <c r="C12" s="9">
        <f>-'Fane 4.1. Gen. krav - drift'!G53</f>
        <v>-460522.30178906786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52451879.126257479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50337484.155652538</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-456020.83835438639</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102333342.44355562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0WCwH1VvXLKv9jREkfuqT88DLaDIrO56eNiEiFk2NEfYKZTkHO2nHLyGupS2+EZW4RoVatkdULQXWDC/gJqITw==" saltValue="TzG/TqqR6K8MgPMrMeURX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52451879.126257479</v>
      </c>
      <c r="D9" s="8" t="s">
        <v>3</v>
      </c>
      <c r="E9" s="1"/>
    </row>
    <row r="10" spans="1:5" ht="15" customHeight="1" x14ac:dyDescent="0.25">
      <c r="A10" s="1"/>
      <c r="B10" s="25" t="s">
        <v>19</v>
      </c>
      <c r="C10" s="7">
        <f>SUM(C9:C9)*'Fane 15. Nøgletal'!C15</f>
        <v>1867286.8968947663</v>
      </c>
      <c r="D10" s="8" t="s">
        <v>3</v>
      </c>
      <c r="E10" s="1"/>
    </row>
    <row r="11" spans="1:5" ht="15" customHeight="1" x14ac:dyDescent="0.25">
      <c r="A11" s="1"/>
      <c r="B11" s="25" t="s">
        <v>10</v>
      </c>
      <c r="C11" s="9">
        <f>-SUM(C9:C10)*'Fane 5. Individuelt eff. krav'!G9</f>
        <v>-271457.47791944031</v>
      </c>
      <c r="D11" s="8" t="s">
        <v>3</v>
      </c>
      <c r="E11" s="1"/>
    </row>
    <row r="12" spans="1:5" ht="15" customHeight="1" x14ac:dyDescent="0.25">
      <c r="A12" s="1"/>
      <c r="B12" s="25" t="s">
        <v>24</v>
      </c>
      <c r="C12" s="9">
        <f>-'Fane 4.1. Gen. krav - drift'!G58</f>
        <v>-467378.55781810352</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53580329.98741471</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51514153.610793769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-456020.83835438639</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104638462.75985411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V8TJ+3ACxX8oEJtpJTHmI34vXq3aNtgQwzBmfVQrxx7SvzMR2FU4Viyru7YcEyQo8pTzn3lItFSmV+4rosobA==" saltValue="Hy4s6WGXp+dYBeCh5c6ne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53580329.98741471</v>
      </c>
      <c r="D9" s="8" t="s">
        <v>3</v>
      </c>
      <c r="E9" s="1"/>
    </row>
    <row r="10" spans="1:5" ht="15" customHeight="1" x14ac:dyDescent="0.25">
      <c r="A10" s="1"/>
      <c r="B10" s="25" t="s">
        <v>19</v>
      </c>
      <c r="C10" s="7">
        <f>SUM(C9:C9)*'Fane 15. Nøgletal'!C15</f>
        <v>1907459.7475519637</v>
      </c>
      <c r="D10" s="8" t="s">
        <v>3</v>
      </c>
      <c r="E10" s="1"/>
    </row>
    <row r="11" spans="1:5" ht="15" customHeight="1" x14ac:dyDescent="0.25">
      <c r="A11" s="1"/>
      <c r="B11" s="25" t="s">
        <v>10</v>
      </c>
      <c r="C11" s="9">
        <f>-SUM(C9:C10)*'Fane 5. Individuelt eff. krav'!G9</f>
        <v>-277297.61996637064</v>
      </c>
      <c r="D11" s="8" t="s">
        <v>3</v>
      </c>
      <c r="E11" s="1"/>
    </row>
    <row r="12" spans="1:5" ht="15" customHeight="1" x14ac:dyDescent="0.25">
      <c r="A12" s="1"/>
      <c r="B12" s="25" t="s">
        <v>24</v>
      </c>
      <c r="C12" s="9">
        <f>-'Fane 4.1. Gen. krav - drift'!G63</f>
        <v>-474336.8897868995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54736155.225213401</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48903379.504538037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-456020.83835438639</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103183513.89139706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BqQx96i5STNseWiT/t0MnTR4iQJ8P9Tbn40dZuuSFwGeU4f1F2xv2K2G88dQVZTHcA+FF6DbsSbWQ+uPCI68g==" saltValue="6/jUrkozzePOA9vZVFKCS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0"/>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1" t="s">
        <v>192</v>
      </c>
      <c r="C9" s="122"/>
      <c r="D9" s="123"/>
      <c r="E9" s="7">
        <v>50410983.493976206</v>
      </c>
      <c r="F9" s="8" t="s">
        <v>3</v>
      </c>
      <c r="G9" s="1"/>
    </row>
    <row r="10" spans="1:7" ht="15" customHeight="1" x14ac:dyDescent="0.25">
      <c r="A10" s="1"/>
      <c r="B10" s="125" t="s">
        <v>39</v>
      </c>
      <c r="C10" s="126"/>
      <c r="D10" s="127"/>
      <c r="E10" s="7">
        <v>1130426.1364000002</v>
      </c>
      <c r="F10" s="8" t="s">
        <v>3</v>
      </c>
      <c r="G10" s="1"/>
    </row>
    <row r="11" spans="1:7" ht="15" customHeight="1" x14ac:dyDescent="0.25">
      <c r="A11" s="1"/>
      <c r="B11" s="125" t="s">
        <v>40</v>
      </c>
      <c r="C11" s="126"/>
      <c r="D11" s="127"/>
      <c r="E11" s="9">
        <v>549080.00420000008</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171898.61579410147</v>
      </c>
      <c r="F16" s="8" t="s">
        <v>3</v>
      </c>
      <c r="G16" s="1"/>
    </row>
    <row r="17" spans="1:7" ht="15" customHeight="1" x14ac:dyDescent="0.25">
      <c r="A17" s="1"/>
      <c r="B17" s="121" t="s">
        <v>10</v>
      </c>
      <c r="C17" s="122"/>
      <c r="D17" s="123"/>
      <c r="E17" s="9">
        <v>-261178.82771700207</v>
      </c>
      <c r="F17" s="8" t="s">
        <v>3</v>
      </c>
      <c r="G17" s="1"/>
    </row>
    <row r="18" spans="1:7" ht="15" customHeight="1" x14ac:dyDescent="0.25">
      <c r="A18" s="1"/>
      <c r="B18" s="121" t="s">
        <v>24</v>
      </c>
      <c r="C18" s="122"/>
      <c r="D18" s="123"/>
      <c r="E18" s="9">
        <f>-'Fane 4.1. Gen. krav - drift'!G39</f>
        <v>-437369.35241608933</v>
      </c>
      <c r="F18" s="8" t="s">
        <v>3</v>
      </c>
      <c r="G18" s="1"/>
    </row>
    <row r="19" spans="1:7" ht="15" customHeight="1" x14ac:dyDescent="0.25">
      <c r="A19" s="1"/>
      <c r="B19" s="121" t="s">
        <v>25</v>
      </c>
      <c r="C19" s="122"/>
      <c r="D19" s="123"/>
      <c r="E19" s="9">
        <f>-'Fane 4.2. Gen. krav - anlæg'!G37</f>
        <v>-478575.75682596554</v>
      </c>
      <c r="F19" s="8" t="s">
        <v>3</v>
      </c>
      <c r="G19" s="1"/>
    </row>
    <row r="20" spans="1:7" ht="15" customHeight="1" x14ac:dyDescent="0.25">
      <c r="A20" s="1"/>
      <c r="B20" s="54" t="s">
        <v>21</v>
      </c>
      <c r="C20" s="89"/>
      <c r="D20" s="96"/>
      <c r="E20" s="51">
        <f>SUM(E9:E19)</f>
        <v>51085264.313411243</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43814948.073553525</v>
      </c>
      <c r="F22" s="11" t="s">
        <v>3</v>
      </c>
      <c r="G22" s="1"/>
    </row>
    <row r="23" spans="1:7" ht="15" customHeight="1" x14ac:dyDescent="0.25">
      <c r="A23" s="1"/>
      <c r="B23" s="131" t="s">
        <v>86</v>
      </c>
      <c r="C23" s="132"/>
      <c r="D23" s="133"/>
      <c r="E23" s="27"/>
      <c r="F23" s="27"/>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-3409990.5</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-1570761</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89919460.886964768</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sheetData>
  <sheetProtection algorithmName="SHA-512" hashValue="WTLTdTFOY1P9fDBdNm0snQAT0dPBH6ZHeI+lV95thSgFD0dU0xSHdmO39cgBOxhUY/WkMfOOijGJIaJRPk1OPg==" saltValue="rLWBRwTkZf7PYzrMPLDK7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19729648.976067226</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394592.97952134453</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19673419.476485435</v>
      </c>
      <c r="H11" s="14" t="s">
        <v>3</v>
      </c>
      <c r="I11" s="1"/>
    </row>
    <row r="12" spans="1:9" ht="15" customHeight="1" x14ac:dyDescent="0.25">
      <c r="A12" s="1"/>
      <c r="B12" s="136" t="s">
        <v>121</v>
      </c>
      <c r="C12" s="137"/>
      <c r="D12" s="137"/>
      <c r="E12" s="137"/>
      <c r="F12" s="138"/>
      <c r="G12" s="77">
        <v>-410602.65818000241</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385256.33636610868</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19207917.790373262</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384158.35580746527</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19194587.495426744</v>
      </c>
      <c r="H25" s="14" t="s">
        <v>3</v>
      </c>
      <c r="I25" s="1"/>
    </row>
    <row r="26" spans="1:9" x14ac:dyDescent="0.25">
      <c r="A26" s="1"/>
      <c r="B26" s="143" t="s">
        <v>50</v>
      </c>
      <c r="C26" s="144"/>
      <c r="D26" s="144"/>
      <c r="E26" s="144"/>
      <c r="F26" s="145"/>
      <c r="G26" s="77">
        <v>1907927.9621028001</v>
      </c>
      <c r="H26" s="14" t="s">
        <v>3</v>
      </c>
      <c r="I26" s="1"/>
    </row>
    <row r="27" spans="1:9" x14ac:dyDescent="0.25">
      <c r="A27" s="1"/>
      <c r="B27" s="136" t="s">
        <v>51</v>
      </c>
      <c r="C27" s="137"/>
      <c r="D27" s="137"/>
      <c r="E27" s="137"/>
      <c r="F27" s="138"/>
      <c r="G27" s="76">
        <f>(G25+G26)*'Fane 15. Nøgletal'!C31</f>
        <v>422050.30915059091</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21087870.311802018</v>
      </c>
      <c r="H31" s="14" t="s">
        <v>3</v>
      </c>
      <c r="I31" s="1"/>
    </row>
    <row r="32" spans="1:9" x14ac:dyDescent="0.25">
      <c r="A32" s="1"/>
      <c r="B32" s="136" t="s">
        <v>137</v>
      </c>
      <c r="C32" s="137"/>
      <c r="D32" s="137"/>
      <c r="E32" s="137"/>
      <c r="F32" s="138"/>
      <c r="G32" s="76">
        <v>0</v>
      </c>
      <c r="H32" s="14" t="s">
        <v>3</v>
      </c>
      <c r="I32" s="1"/>
    </row>
    <row r="33" spans="1:9" x14ac:dyDescent="0.25">
      <c r="A33" s="1"/>
      <c r="B33" s="136" t="s">
        <v>60</v>
      </c>
      <c r="C33" s="137"/>
      <c r="D33" s="137"/>
      <c r="E33" s="137"/>
      <c r="F33" s="138"/>
      <c r="G33" s="76">
        <f>(G31+G32)*'Fane 15. Nøgletal'!C31</f>
        <v>421757.40623604041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20734311.078154348</v>
      </c>
      <c r="H37" s="14" t="s">
        <v>3</v>
      </c>
      <c r="I37" s="1"/>
    </row>
    <row r="38" spans="1:9" x14ac:dyDescent="0.25">
      <c r="A38" s="1"/>
      <c r="B38" s="136" t="s">
        <v>164</v>
      </c>
      <c r="C38" s="137"/>
      <c r="D38" s="137"/>
      <c r="E38" s="137"/>
      <c r="F38" s="138"/>
      <c r="G38" s="76">
        <v>1134156.5426501203</v>
      </c>
      <c r="H38" s="14" t="s">
        <v>3</v>
      </c>
      <c r="I38" s="1"/>
    </row>
    <row r="39" spans="1:9" x14ac:dyDescent="0.25">
      <c r="A39" s="1"/>
      <c r="B39" s="136" t="s">
        <v>162</v>
      </c>
      <c r="C39" s="137"/>
      <c r="D39" s="137"/>
      <c r="E39" s="137"/>
      <c r="F39" s="138"/>
      <c r="G39" s="76">
        <f>(G37+G38)*'Fane 15. Nøgletal'!C31</f>
        <v>437369.35241608933</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21501820.892674059</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1186510.3216603203</v>
      </c>
      <c r="H44" s="14" t="s">
        <v>3</v>
      </c>
      <c r="I44" s="1"/>
    </row>
    <row r="45" spans="1:9" x14ac:dyDescent="0.25">
      <c r="A45" s="1"/>
      <c r="B45" s="136" t="s">
        <v>163</v>
      </c>
      <c r="C45" s="137"/>
      <c r="D45" s="137"/>
      <c r="E45" s="137"/>
      <c r="F45" s="138"/>
      <c r="G45" s="76">
        <f>SUM(G43:G44)*'Fane 15. Nøgletal'!C31</f>
        <v>453766.62428668758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23026115.089453392</v>
      </c>
      <c r="H52" s="14" t="s">
        <v>3</v>
      </c>
      <c r="I52" s="1"/>
    </row>
    <row r="53" spans="1:9" x14ac:dyDescent="0.25">
      <c r="A53" s="1"/>
      <c r="B53" s="136" t="s">
        <v>138</v>
      </c>
      <c r="C53" s="137"/>
      <c r="D53" s="137"/>
      <c r="E53" s="137"/>
      <c r="F53" s="138"/>
      <c r="G53" s="76">
        <f>(G52)*'Fane 15. Nøgletal'!C31</f>
        <v>460522.30178906786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23368927.890905175</v>
      </c>
      <c r="H57" s="14" t="s">
        <v>3</v>
      </c>
      <c r="I57" s="1"/>
    </row>
    <row r="58" spans="1:9" x14ac:dyDescent="0.25">
      <c r="A58" s="1"/>
      <c r="B58" s="91" t="s">
        <v>152</v>
      </c>
      <c r="C58" s="92"/>
      <c r="D58" s="92"/>
      <c r="E58" s="92"/>
      <c r="F58" s="93"/>
      <c r="G58" s="76">
        <f>(G57)*'Fane 15. Nøgletal'!C31</f>
        <v>467378.55781810352</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23716844.489344973</v>
      </c>
      <c r="H62" s="14" t="s">
        <v>3</v>
      </c>
      <c r="I62" s="1"/>
    </row>
    <row r="63" spans="1:9" x14ac:dyDescent="0.25">
      <c r="A63" s="1"/>
      <c r="B63" s="91" t="s">
        <v>195</v>
      </c>
      <c r="C63" s="92"/>
      <c r="D63" s="92"/>
      <c r="E63" s="92"/>
      <c r="F63" s="93"/>
      <c r="G63" s="76">
        <f>(G62)*'Fane 15. Nøgletal'!C31</f>
        <v>474336.8897868995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wM8HoLJ9vO+7kbJbdiNoo6Vhnldc9gaseOfLyz18659kOKxubQgcT0EwtuFAuI2AxmGWCiD4SQnnmMLehGH+SA==" saltValue="+YoEF69wmVEv4nmJQf/xR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27510582.560179096</v>
      </c>
      <c r="H5" s="14" t="s">
        <v>3</v>
      </c>
      <c r="I5" s="1"/>
    </row>
    <row r="6" spans="1:9" x14ac:dyDescent="0.25">
      <c r="A6" s="1"/>
      <c r="B6" s="136" t="s">
        <v>57</v>
      </c>
      <c r="C6" s="137"/>
      <c r="D6" s="137"/>
      <c r="E6" s="137"/>
      <c r="F6" s="138"/>
      <c r="G6" s="76">
        <f>G5*'Fane 15. Nøgletal'!C20</f>
        <v>250346.30129762978</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27737290.393411893</v>
      </c>
      <c r="H10" s="14" t="s">
        <v>3</v>
      </c>
      <c r="I10" s="1"/>
    </row>
    <row r="11" spans="1:9" x14ac:dyDescent="0.25">
      <c r="A11" s="1"/>
      <c r="B11" s="136" t="s">
        <v>122</v>
      </c>
      <c r="C11" s="137"/>
      <c r="D11" s="137"/>
      <c r="E11" s="137"/>
      <c r="F11" s="138"/>
      <c r="G11" s="76">
        <v>-425784.56922377524</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483413.65308812971</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27297583.784094237</v>
      </c>
      <c r="H17" s="14" t="s">
        <v>3</v>
      </c>
      <c r="I17" s="1"/>
    </row>
    <row r="18" spans="1:9" x14ac:dyDescent="0.25">
      <c r="A18" s="1"/>
      <c r="B18" s="143" t="s">
        <v>68</v>
      </c>
      <c r="C18" s="144"/>
      <c r="D18" s="144"/>
      <c r="E18" s="144"/>
      <c r="F18" s="145"/>
      <c r="G18" s="76">
        <v>670957.14127800986</v>
      </c>
      <c r="H18" s="14" t="s">
        <v>3</v>
      </c>
      <c r="I18" s="1"/>
    </row>
    <row r="19" spans="1:9" x14ac:dyDescent="0.25">
      <c r="A19" s="1"/>
      <c r="B19" s="136" t="s">
        <v>69</v>
      </c>
      <c r="C19" s="137"/>
      <c r="D19" s="137"/>
      <c r="E19" s="137"/>
      <c r="F19" s="138"/>
      <c r="G19" s="76">
        <f>G17*'Fane 15. Nøgletal'!C21+G18*'Fane 15. Nøgletal'!C22</f>
        <v>489004.56010758667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28020883.231660377</v>
      </c>
      <c r="H23" s="14" t="s">
        <v>3</v>
      </c>
      <c r="I23" s="1"/>
    </row>
    <row r="24" spans="1:9" x14ac:dyDescent="0.25">
      <c r="A24" s="1"/>
      <c r="B24" s="143" t="s">
        <v>72</v>
      </c>
      <c r="C24" s="144"/>
      <c r="D24" s="144"/>
      <c r="E24" s="144"/>
      <c r="F24" s="145"/>
      <c r="G24" s="76">
        <v>0</v>
      </c>
      <c r="H24" s="14" t="s">
        <v>3</v>
      </c>
      <c r="I24" s="1"/>
    </row>
    <row r="25" spans="1:9" x14ac:dyDescent="0.25">
      <c r="A25" s="1"/>
      <c r="B25" s="136" t="s">
        <v>73</v>
      </c>
      <c r="C25" s="137"/>
      <c r="D25" s="137"/>
      <c r="E25" s="137"/>
      <c r="F25" s="138"/>
      <c r="G25" s="76">
        <f>(G23+G24)*'Fane 15. Nøgletal'!C23</f>
        <v>795793.08377915481</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27761424.423794482</v>
      </c>
      <c r="H29" s="14" t="s">
        <v>3</v>
      </c>
      <c r="I29" s="1"/>
    </row>
    <row r="30" spans="1:9" x14ac:dyDescent="0.25">
      <c r="A30" s="1"/>
      <c r="B30" s="136" t="s">
        <v>139</v>
      </c>
      <c r="C30" s="137"/>
      <c r="D30" s="137"/>
      <c r="E30" s="137"/>
      <c r="F30" s="138"/>
      <c r="G30" s="76">
        <v>4840885.6913717994</v>
      </c>
      <c r="H30" s="14" t="s">
        <v>3</v>
      </c>
      <c r="I30" s="1"/>
    </row>
    <row r="31" spans="1:9" x14ac:dyDescent="0.25">
      <c r="A31" s="1"/>
      <c r="B31" s="136" t="s">
        <v>76</v>
      </c>
      <c r="C31" s="137"/>
      <c r="D31" s="137"/>
      <c r="E31" s="137"/>
      <c r="F31" s="138"/>
      <c r="G31" s="76">
        <f>G29*'Fane 15. Nøgletal'!C23+G30*'Fane 15. Nøgletal'!C24</f>
        <v>921548.8101484878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31785307.817324352</v>
      </c>
      <c r="H35" s="14" t="s">
        <v>3</v>
      </c>
      <c r="I35" s="1"/>
    </row>
    <row r="36" spans="1:9" x14ac:dyDescent="0.25">
      <c r="A36" s="1"/>
      <c r="B36" s="136" t="s">
        <v>167</v>
      </c>
      <c r="C36" s="137"/>
      <c r="D36" s="137"/>
      <c r="E36" s="137"/>
      <c r="F36" s="138"/>
      <c r="G36" s="76">
        <v>550891.96821386018</v>
      </c>
      <c r="H36" s="14" t="s">
        <v>3</v>
      </c>
      <c r="I36" s="1"/>
    </row>
    <row r="37" spans="1:9" x14ac:dyDescent="0.25">
      <c r="A37" s="1"/>
      <c r="B37" s="136" t="s">
        <v>166</v>
      </c>
      <c r="C37" s="137"/>
      <c r="D37" s="137"/>
      <c r="E37" s="137"/>
      <c r="F37" s="138"/>
      <c r="G37" s="76">
        <f>(G35+G36)*'Fane 15. Nøgletal'!C25</f>
        <v>478575.75682596554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31962754.188007001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99116.360943840016</v>
      </c>
      <c r="H42" s="14" t="s">
        <v>3</v>
      </c>
      <c r="I42" s="1"/>
    </row>
    <row r="43" spans="1:9" x14ac:dyDescent="0.25">
      <c r="A43" s="1"/>
      <c r="B43" s="136" t="s">
        <v>168</v>
      </c>
      <c r="C43" s="137"/>
      <c r="D43" s="137"/>
      <c r="E43" s="137"/>
      <c r="F43" s="138"/>
      <c r="G43" s="76">
        <f>(G41)*'Fane 15. Nøgletal'!C25+G42*'Fane 15. Nøgletal'!C26</f>
        <v>473048.76198250364</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32713383.842584409</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33877980.307380415</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35084036.406323157</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7buElqqRPBm5t8y/BdrhKCgbRid8BhSU/8TncCYp1459nMX24SVdbWBRynSnS1HTL1xCqJ25XhRmrGszv+pg3w==" saltValue="ugOvrqj0RN+pr4FZ4N6xt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2"/>
      <c r="H8" s="1"/>
    </row>
    <row r="9" spans="1:8" x14ac:dyDescent="0.25">
      <c r="A9" s="1"/>
      <c r="B9" s="136" t="s">
        <v>154</v>
      </c>
      <c r="C9" s="137"/>
      <c r="D9" s="137"/>
      <c r="E9" s="137"/>
      <c r="F9" s="138"/>
      <c r="G9" s="35">
        <v>4.9974529764271062E-3</v>
      </c>
      <c r="H9" s="1"/>
    </row>
    <row r="10" spans="1:8" x14ac:dyDescent="0.25">
      <c r="A10" s="1"/>
      <c r="B10" s="32"/>
      <c r="C10" s="27"/>
      <c r="D10" s="27"/>
      <c r="E10" s="27"/>
      <c r="F10" s="27"/>
      <c r="G10" s="27"/>
      <c r="H10" s="1"/>
    </row>
    <row r="11" spans="1:8" ht="29.25" customHeight="1" x14ac:dyDescent="0.25">
      <c r="A11" s="1"/>
      <c r="B11" s="148"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QE86XC05Wm0tWRS788rmdi12AKeoR5WAVzjwOV03JV9loka2+OOrkbQn/Wv8vE7hVvzelsGGhEgO3pe9OHb3w==" saltValue="SOdBSKLHzlJujGtnu/Pdz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2022-12-06T11:29:27Z</dcterms:modified>
</cp:coreProperties>
</file>