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Ringsted Spildevand AS (S07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4" i="19" l="1"/>
  <c r="E28" i="32" l="1"/>
  <c r="E38" i="32" l="1"/>
  <c r="E32" i="32"/>
  <c r="C30" i="2" s="1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4" i="37" s="1"/>
  <c r="G11" i="11"/>
  <c r="C15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4" i="37" s="1"/>
  <c r="E15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<sst xmlns="http://schemas.openxmlformats.org/spreadsheetml/2006/main" count="693" uniqueCount="278">
  <si>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</si>
  <si>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</si>
  <si>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</si>
  <si>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</si>
  <si>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</si>
  <si>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</si>
  <si>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</si>
  <si>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</si>
  <si>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</si>
  <si>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</si>
  <si>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</si>
  <si>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</si>
  <si>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</si>
  <si>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</si>
  <si>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</si>
  <si>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</si>
  <si>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</si>
  <si>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</si>
  <si>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</si>
  <si>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</si>
  <si>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</si>
  <si>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</si>
  <si>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</si>
  <si>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</si>
  <si>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</si>
  <si>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</si>
  <si>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</si>
  <si>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</si>
  <si>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</si>
  <si>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</si>
  <si>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</si>
  <si>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</si>
  <si>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</si>
  <si>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</si>
  <si>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</si>
  <si>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</si>
  <si>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</si>
  <si>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</si>
  <si>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</si>
  <si>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</si>
  <si>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</si>
  <si>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</si>
  <si>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</si>
  <si>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</si>
  <si>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</si>
  <si>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</si>
  <si>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</si>
  <si>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</si>
  <si>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</si>
  <si>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</si>
  <si>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</si>
  <si>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</si>
  <si>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</si>
  <si>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</si>
  <si>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</si>
  <si>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</si>
  <si>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</si>
  <si>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</si>
  <si>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</si>
  <si>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</si>
  <si>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</si>
  <si>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</si>
  <si>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</si>
  <si>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</si>
  <si>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</si>
  <si>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</si>
  <si>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</si>
  <si>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</si>
  <si>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</si>
  <si>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</si>
  <si>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</si>
  <si>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</si>
  <si>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</si>
  <si>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</si>
  <si>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</si>
  <si>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</si>
  <si>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</si>
  <si>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</si>
  <si>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</si>
  <si>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</si>
  <si>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</si>
  <si>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</si>
  <si>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</si>
  <si>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</si>
  <si>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</si>
  <si>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</si>
  <si>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</si>
  <si>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</si>
  <si>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</si>
  <si>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</si>
  <si>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</si>
  <si>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</si>
  <si>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</si>
  <si>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</si>
  <si>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</si>
  <si>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</si>
  <si>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</si>
  <si>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</si>
  <si>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</si>
  <si>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</si>
  <si>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</si>
  <si>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</si>
  <si>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</si>
  <si>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</si>
  <si>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</si>
  <si>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</si>
  <si>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</si>
  <si>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</si>
  <si>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</si>
  <si>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</si>
  <si>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</si>
  <si>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</si>
  <si>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</si>
  <si>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</si>
  <si>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</si>
  <si>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</si>
  <si>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</si>
  <si>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</si>
  <si>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</si>
  <si>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</si>
  <si>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</si>
  <si>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</si>
  <si>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</si>
  <si>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</si>
  <si>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</si>
  <si>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</si>
  <si>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</si>
  <si>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</si>
  <si>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</si>
  <si>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</si>
  <si>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</si>
  <si>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</si>
  <si>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</si>
  <si>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</si>
  <si>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</si>
  <si>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</si>
  <si>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</si>
  <si>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</si>
  <si>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</si>
  <si>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</si>
  <si>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</si>
  <si>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</si>
  <si>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</si>
  <si>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</si>
  <si>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</si>
  <si>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</si>
  <si>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</si>
  <si>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</si>
  <si>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</si>
  <si>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</si>
  <si>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</si>
  <si>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</si>
  <si>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</si>
  <si>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</si>
  <si>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</si>
  <si>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</si>
  <si>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</si>
  <si>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</si>
  <si>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</si>
  <si>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</si>
  <si>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</si>
  <si>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</si>
  <si>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</si>
  <si>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</si>
  <si>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</si>
  <si>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</si>
  <si>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</si>
  <si>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</si>
  <si>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</si>
  <si>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</si>
  <si>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</si>
  <si>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</si>
  <si>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</si>
  <si>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</si>
  <si>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</si>
  <si>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</si>
  <si>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</si>
  <si>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</si>
  <si>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</si>
  <si>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</si>
  <si>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</si>
  <si>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</si>
  <si>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</si>
  <si>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</si>
  <si>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</si>
  <si>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</si>
  <si>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</si>
  <si>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</si>
  <si>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</si>
  <si>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</si>
  <si>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</si>
  <si>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</si>
  <si>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</si>
  <si>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</si>
  <si>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</si>
  <si>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</si>
  <si>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</si>
  <si>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</si>
  <si>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</si>
  <si>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</si>
  <si>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</si>
  <si>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</si>
  <si>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</si>
  <si>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</si>
  <si>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</si>
  <si>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</si>
  <si>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</si>
  <si>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</si>
  <si>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</si>
  <si>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</si>
  <si>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</si>
  <si>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</si>
  <si>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</si>
  <si>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</si>
  <si>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</si>
  <si>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</si>
  <si>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</si>
  <si>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</si>
  <si>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</si>
  <si>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</si>
  <si>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</si>
  <si>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</si>
  <si>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</si>
  <si>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</si>
  <si>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</si>
  <si>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</si>
  <si>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</si>
  <si>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</si>
  <si>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</si>
  <si>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</si>
  <si>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</si>
  <si>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</si>
  <si>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</si>
  <si>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</si>
  <si>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</si>
  <si>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</si>
  <si>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</si>
  <si>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</si>
  <si>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</si>
  <si>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</si>
  <si>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</si>
  <si>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</si>
  <si>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</si>
  <si>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</si>
  <si>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</si>
  <si>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</si>
  <si>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</si>
  <si>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</si>
  <si>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</si>
  <si>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</si>
  <si>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</si>
  <si>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</si>
  <si>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</si>
  <si>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</si>
  <si>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</si>
  <si>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</si>
  <si>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</si>
  <si>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</si>
  <si>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</si>
  <si>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</si>
  <si>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</si>
  <si>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</si>
  <si>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</si>
  <si>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</si>
  <si>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</si>
  <si>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</si>
  <si>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</si>
  <si>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</si>
  <si>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</si>
  <si>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tilknyttet virksomhed</t>
  </si>
  <si>
    <t>Ingen bortfald eller nedsættelse</t>
  </si>
  <si>
    <t>Ingen anlægsprojekter</t>
  </si>
  <si>
    <t>Rottebekæmpelse og separatkloakeringer</t>
  </si>
  <si>
    <t>Byudvikling og nykloakering</t>
  </si>
  <si>
    <t>Oprensning af bassiner</t>
  </si>
  <si>
    <t>Ingen engangstillæg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</si>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</sst>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8" borderId="1" xfId="0" applyNumberFormat="1" applyFont="1" applyFill="1" applyBorder="1" applyProtection="1">
      <protection locked="0"/>
    </xf>
    <xf numFmtId="49" fontId="8" fillId="8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3" fontId="8" fillId="8" borderId="1" xfId="0" applyNumberFormat="1" applyFont="1" applyFill="1" applyBorder="1" applyAlignment="1" applyProtection="1">
      <protection locked="0"/>
    </xf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5" t="s">
        <v>4</v>
      </c>
      <c r="E6" s="65"/>
      <c r="F6" s="65"/>
      <c r="G6" s="65"/>
      <c r="H6" s="3"/>
      <c r="I6" s="1"/>
    </row>
    <row r="7" spans="1:9" ht="15" customHeight="1" x14ac:dyDescent="0.25">
      <c r="A7" s="1"/>
      <c r="B7" s="1"/>
      <c r="C7" s="3"/>
      <c r="D7" s="65"/>
      <c r="E7" s="65"/>
      <c r="F7" s="65"/>
      <c r="G7" s="65"/>
      <c r="H7" s="3"/>
      <c r="I7" s="1"/>
    </row>
    <row r="8" spans="1:9" ht="15.75" x14ac:dyDescent="0.25">
      <c r="A8" s="1"/>
      <c r="B8" s="1"/>
      <c r="C8" s="4"/>
      <c r="D8" s="73" t="s">
        <v>226</v>
      </c>
      <c r="E8" s="73"/>
      <c r="F8" s="73"/>
      <c r="G8" s="7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2" t="s">
        <v>5</v>
      </c>
      <c r="E11" s="72"/>
      <c r="F11" s="72"/>
      <c r="G11" s="7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2" t="s">
        <v>43</v>
      </c>
      <c r="E13" s="63"/>
      <c r="F13" s="63"/>
      <c r="G13" s="64"/>
      <c r="H13" s="1"/>
      <c r="I13" s="1"/>
    </row>
    <row r="14" spans="1:9" x14ac:dyDescent="0.25">
      <c r="A14" s="1"/>
      <c r="B14" s="1"/>
      <c r="C14" s="6" t="s">
        <v>17</v>
      </c>
      <c r="D14" s="62" t="s">
        <v>254</v>
      </c>
      <c r="E14" s="63"/>
      <c r="F14" s="63"/>
      <c r="G14" s="64"/>
      <c r="H14" s="1"/>
      <c r="I14" s="1"/>
    </row>
    <row r="15" spans="1:9" x14ac:dyDescent="0.25">
      <c r="A15" s="1"/>
      <c r="B15" s="1"/>
      <c r="C15" s="6" t="s">
        <v>41</v>
      </c>
      <c r="D15" s="62" t="s">
        <v>107</v>
      </c>
      <c r="E15" s="63"/>
      <c r="F15" s="63"/>
      <c r="G15" s="64"/>
      <c r="H15" s="1"/>
      <c r="I15" s="1"/>
    </row>
    <row r="16" spans="1:9" x14ac:dyDescent="0.25">
      <c r="A16" s="1"/>
      <c r="B16" s="1"/>
      <c r="C16" s="6" t="s">
        <v>42</v>
      </c>
      <c r="D16" s="62" t="s">
        <v>214</v>
      </c>
      <c r="E16" s="63"/>
      <c r="F16" s="63"/>
      <c r="G16" s="64"/>
      <c r="H16" s="1"/>
      <c r="I16" s="1"/>
    </row>
    <row r="17" spans="1:9" x14ac:dyDescent="0.25">
      <c r="A17" s="1"/>
      <c r="B17" s="1"/>
      <c r="C17" s="6" t="s">
        <v>180</v>
      </c>
      <c r="D17" s="62" t="s">
        <v>215</v>
      </c>
      <c r="E17" s="63"/>
      <c r="F17" s="63"/>
      <c r="G17" s="64"/>
      <c r="H17" s="1"/>
      <c r="I17" s="1"/>
    </row>
    <row r="18" spans="1:9" x14ac:dyDescent="0.25">
      <c r="A18" s="1"/>
      <c r="B18" s="1"/>
      <c r="C18" s="6" t="s">
        <v>157</v>
      </c>
      <c r="D18" s="74" t="s">
        <v>135</v>
      </c>
      <c r="E18" s="75"/>
      <c r="F18" s="75"/>
      <c r="G18" s="76"/>
      <c r="H18" s="1"/>
      <c r="I18" s="1"/>
    </row>
    <row r="19" spans="1:9" x14ac:dyDescent="0.25">
      <c r="A19" s="1"/>
      <c r="B19" s="1"/>
      <c r="C19" s="6" t="s">
        <v>158</v>
      </c>
      <c r="D19" s="74" t="s">
        <v>136</v>
      </c>
      <c r="E19" s="75"/>
      <c r="F19" s="75"/>
      <c r="G19" s="76"/>
      <c r="H19" s="1"/>
      <c r="I19" s="1"/>
    </row>
    <row r="20" spans="1:9" x14ac:dyDescent="0.25">
      <c r="A20" s="1"/>
      <c r="B20" s="1"/>
      <c r="C20" s="6" t="s">
        <v>7</v>
      </c>
      <c r="D20" s="74" t="s">
        <v>10</v>
      </c>
      <c r="E20" s="75"/>
      <c r="F20" s="75"/>
      <c r="G20" s="76"/>
      <c r="H20" s="1"/>
      <c r="I20" s="1"/>
    </row>
    <row r="21" spans="1:9" x14ac:dyDescent="0.25">
      <c r="A21" s="1"/>
      <c r="B21" s="1"/>
      <c r="C21" s="6" t="s">
        <v>159</v>
      </c>
      <c r="D21" s="66" t="s">
        <v>13</v>
      </c>
      <c r="E21" s="67"/>
      <c r="F21" s="67"/>
      <c r="G21" s="68"/>
      <c r="H21" s="1"/>
      <c r="I21" s="1"/>
    </row>
    <row r="22" spans="1:9" x14ac:dyDescent="0.25">
      <c r="A22" s="1"/>
      <c r="B22" s="1"/>
      <c r="C22" s="6" t="s">
        <v>111</v>
      </c>
      <c r="D22" s="69" t="s">
        <v>255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8</v>
      </c>
      <c r="D23" s="69" t="s">
        <v>184</v>
      </c>
      <c r="E23" s="70"/>
      <c r="F23" s="70"/>
      <c r="G23" s="71"/>
      <c r="H23" s="1"/>
      <c r="I23" s="1"/>
    </row>
    <row r="24" spans="1:9" x14ac:dyDescent="0.25">
      <c r="A24" s="1"/>
      <c r="B24" s="1"/>
      <c r="C24" s="6" t="s">
        <v>9</v>
      </c>
      <c r="D24" s="69" t="s">
        <v>44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160</v>
      </c>
      <c r="D25" s="69" t="s">
        <v>112</v>
      </c>
      <c r="E25" s="70"/>
      <c r="F25" s="70"/>
      <c r="G25" s="71"/>
      <c r="H25" s="1"/>
      <c r="I25" s="1"/>
    </row>
    <row r="26" spans="1:9" x14ac:dyDescent="0.25">
      <c r="A26" s="1"/>
      <c r="B26" s="1"/>
      <c r="C26" s="6" t="s">
        <v>161</v>
      </c>
      <c r="D26" s="69" t="s">
        <v>113</v>
      </c>
      <c r="E26" s="70"/>
      <c r="F26" s="70"/>
      <c r="G26" s="71"/>
      <c r="H26" s="1"/>
      <c r="I26" s="1"/>
    </row>
    <row r="27" spans="1:9" x14ac:dyDescent="0.25">
      <c r="A27" s="1"/>
      <c r="B27" s="1"/>
      <c r="C27" s="6" t="s">
        <v>162</v>
      </c>
      <c r="D27" s="69" t="s">
        <v>114</v>
      </c>
      <c r="E27" s="70"/>
      <c r="F27" s="70"/>
      <c r="G27" s="71"/>
      <c r="H27" s="1"/>
      <c r="I27" s="1"/>
    </row>
    <row r="28" spans="1:9" x14ac:dyDescent="0.25">
      <c r="A28" s="1"/>
      <c r="B28" s="1"/>
      <c r="C28" s="6" t="s">
        <v>16</v>
      </c>
      <c r="D28" s="69" t="s">
        <v>216</v>
      </c>
      <c r="E28" s="70"/>
      <c r="F28" s="70"/>
      <c r="G28" s="71"/>
      <c r="H28" s="1"/>
      <c r="I28" s="1"/>
    </row>
    <row r="29" spans="1:9" x14ac:dyDescent="0.25">
      <c r="A29" s="1"/>
      <c r="B29" s="1"/>
      <c r="C29" s="6" t="s">
        <v>46</v>
      </c>
      <c r="D29" s="69" t="s">
        <v>45</v>
      </c>
      <c r="E29" s="70"/>
      <c r="F29" s="70"/>
      <c r="G29" s="71"/>
      <c r="H29" s="1"/>
      <c r="I29" s="1"/>
    </row>
    <row r="30" spans="1:9" x14ac:dyDescent="0.25">
      <c r="A30" s="1"/>
      <c r="B30" s="1"/>
      <c r="C30" s="6" t="s">
        <v>47</v>
      </c>
      <c r="D30" s="77" t="s">
        <v>155</v>
      </c>
      <c r="E30" s="78"/>
      <c r="F30" s="78"/>
      <c r="G30" s="79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0" t="s">
        <v>165</v>
      </c>
      <c r="C3" s="80"/>
      <c r="D3" s="80"/>
      <c r="E3" s="1"/>
      <c r="F3" s="1"/>
    </row>
    <row r="4" spans="1:6" ht="15" customHeight="1" x14ac:dyDescent="0.25">
      <c r="A4" s="1"/>
      <c r="B4" s="80"/>
      <c r="C4" s="80"/>
      <c r="D4" s="80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1" t="s">
        <v>196</v>
      </c>
      <c r="C8" s="92"/>
      <c r="D8" s="93"/>
      <c r="E8" s="1"/>
      <c r="F8" s="1"/>
    </row>
    <row r="9" spans="1:6" ht="15" customHeight="1" x14ac:dyDescent="0.25">
      <c r="A9" s="1"/>
      <c r="B9" s="34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9" t="s">
        <v>265</v>
      </c>
      <c r="C10" s="9">
        <v>592298</v>
      </c>
      <c r="D10" s="14" t="s">
        <v>3</v>
      </c>
      <c r="E10" s="1"/>
      <c r="F10" s="1"/>
    </row>
    <row r="11" spans="1:6" x14ac:dyDescent="0.25">
      <c r="A11" s="1"/>
      <c r="B11" s="59" t="s">
        <v>266</v>
      </c>
      <c r="C11" s="9">
        <v>91410</v>
      </c>
      <c r="D11" s="14" t="s">
        <v>3</v>
      </c>
      <c r="E11" s="1"/>
      <c r="F11" s="1"/>
    </row>
    <row r="12" spans="1:6" x14ac:dyDescent="0.25">
      <c r="A12" s="1"/>
      <c r="B12" s="59" t="s">
        <v>267</v>
      </c>
      <c r="C12" s="9">
        <v>6752</v>
      </c>
      <c r="D12" s="14" t="s">
        <v>3</v>
      </c>
      <c r="E12" s="1"/>
      <c r="F12" s="1"/>
    </row>
    <row r="13" spans="1:6" x14ac:dyDescent="0.25">
      <c r="A13" s="1"/>
      <c r="B13" s="59" t="s">
        <v>268</v>
      </c>
      <c r="C13" s="9">
        <v>142214</v>
      </c>
      <c r="D13" s="14" t="s">
        <v>3</v>
      </c>
      <c r="E13" s="1"/>
      <c r="F13" s="1"/>
    </row>
    <row r="14" spans="1:6" x14ac:dyDescent="0.25">
      <c r="A14" s="1"/>
      <c r="B14" s="41" t="s">
        <v>198</v>
      </c>
      <c r="C14" s="12">
        <f>SUM(C10:C13)</f>
        <v>832674</v>
      </c>
      <c r="D14" s="13" t="s">
        <v>3</v>
      </c>
      <c r="E14" s="1"/>
      <c r="F14" s="1"/>
    </row>
    <row r="15" spans="1:6" x14ac:dyDescent="0.25">
      <c r="A15" s="1"/>
      <c r="B15" s="41" t="s">
        <v>199</v>
      </c>
      <c r="C15" s="12">
        <f>C14*(1+'Fane 14. Nøgletal'!C13)^2</f>
        <v>853115.18079816003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1" t="s">
        <v>178</v>
      </c>
      <c r="C18" s="92"/>
      <c r="D18" s="93"/>
      <c r="E18" s="1"/>
      <c r="F18" s="1"/>
    </row>
    <row r="19" spans="1:6" x14ac:dyDescent="0.25">
      <c r="A19" s="1"/>
      <c r="B19" s="59" t="s">
        <v>147</v>
      </c>
      <c r="C19" s="9">
        <v>2263664</v>
      </c>
      <c r="D19" s="14" t="s">
        <v>3</v>
      </c>
      <c r="E19" s="1"/>
      <c r="F19" s="1"/>
    </row>
    <row r="20" spans="1:6" x14ac:dyDescent="0.25">
      <c r="A20" s="1"/>
      <c r="B20" s="59" t="s">
        <v>148</v>
      </c>
      <c r="C20" s="9">
        <v>2263664</v>
      </c>
      <c r="D20" s="14" t="s">
        <v>3</v>
      </c>
      <c r="E20" s="1"/>
      <c r="F20" s="1"/>
    </row>
    <row r="21" spans="1:6" x14ac:dyDescent="0.25">
      <c r="A21" s="1"/>
      <c r="B21" s="59" t="s">
        <v>149</v>
      </c>
      <c r="C21" s="9">
        <v>2263664</v>
      </c>
      <c r="D21" s="14" t="s">
        <v>3</v>
      </c>
      <c r="E21" s="1"/>
      <c r="F21" s="1"/>
    </row>
    <row r="22" spans="1:6" x14ac:dyDescent="0.25">
      <c r="A22" s="1"/>
      <c r="B22" s="59" t="s">
        <v>200</v>
      </c>
      <c r="C22" s="9">
        <v>2263664</v>
      </c>
      <c r="D22" s="14" t="s">
        <v>3</v>
      </c>
      <c r="E22" s="1"/>
      <c r="F22" s="1"/>
    </row>
    <row r="23" spans="1:6" x14ac:dyDescent="0.25">
      <c r="A23" s="1"/>
      <c r="B23" s="91"/>
      <c r="C23" s="92"/>
      <c r="D23" s="93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1" t="s">
        <v>146</v>
      </c>
      <c r="C26" s="92"/>
      <c r="D26" s="93"/>
      <c r="E26" s="1"/>
      <c r="F26" s="1"/>
    </row>
    <row r="27" spans="1:6" x14ac:dyDescent="0.25">
      <c r="A27" s="1"/>
      <c r="B27" s="59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9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9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9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1"/>
      <c r="C31" s="92"/>
      <c r="D31" s="93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4" t="s">
        <v>256</v>
      </c>
      <c r="C3" s="94"/>
      <c r="D3" s="94"/>
      <c r="E3" s="94"/>
      <c r="F3" s="94"/>
      <c r="G3" s="1"/>
    </row>
    <row r="4" spans="1:7" ht="15" customHeight="1" x14ac:dyDescent="0.25">
      <c r="A4" s="1"/>
      <c r="B4" s="94"/>
      <c r="C4" s="94"/>
      <c r="D4" s="94"/>
      <c r="E4" s="94"/>
      <c r="F4" s="94"/>
      <c r="G4" s="1"/>
    </row>
    <row r="5" spans="1:7" ht="15" customHeight="1" x14ac:dyDescent="0.25">
      <c r="A5" s="1"/>
      <c r="B5" s="57"/>
      <c r="C5" s="57"/>
      <c r="D5" s="57"/>
      <c r="E5" s="57"/>
      <c r="F5" s="57"/>
      <c r="G5" s="1"/>
    </row>
    <row r="6" spans="1:7" ht="15" customHeight="1" x14ac:dyDescent="0.25">
      <c r="A6" s="1"/>
      <c r="B6" s="57"/>
      <c r="C6" s="57"/>
      <c r="D6" s="57"/>
      <c r="E6" s="57"/>
      <c r="F6" s="57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137</v>
      </c>
      <c r="C8" s="92"/>
      <c r="D8" s="92"/>
      <c r="E8" s="92"/>
      <c r="F8" s="93"/>
      <c r="G8" s="1"/>
    </row>
    <row r="9" spans="1:7" x14ac:dyDescent="0.25">
      <c r="A9" s="1"/>
      <c r="B9" s="97" t="s">
        <v>138</v>
      </c>
      <c r="C9" s="98"/>
      <c r="D9" s="99"/>
      <c r="E9" s="9">
        <v>47790531.534626938</v>
      </c>
      <c r="F9" s="14" t="s">
        <v>3</v>
      </c>
      <c r="G9" s="1"/>
    </row>
    <row r="10" spans="1:7" x14ac:dyDescent="0.25">
      <c r="A10" s="1"/>
      <c r="B10" s="97" t="s">
        <v>139</v>
      </c>
      <c r="C10" s="98"/>
      <c r="D10" s="99"/>
      <c r="E10" s="9">
        <v>50454352</v>
      </c>
      <c r="F10" s="14" t="s">
        <v>3</v>
      </c>
      <c r="G10" s="1"/>
    </row>
    <row r="11" spans="1:7" x14ac:dyDescent="0.25">
      <c r="A11" s="1"/>
      <c r="B11" s="97" t="s">
        <v>40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95" t="s">
        <v>140</v>
      </c>
      <c r="C12" s="96"/>
      <c r="D12" s="106"/>
      <c r="E12" s="10">
        <f>E9-(E10-E11)</f>
        <v>-2663820.4653730616</v>
      </c>
      <c r="F12" s="19" t="s">
        <v>3</v>
      </c>
      <c r="G12" s="1"/>
    </row>
    <row r="13" spans="1:7" x14ac:dyDescent="0.25">
      <c r="A13" s="1"/>
      <c r="B13" s="41"/>
      <c r="C13" s="35"/>
      <c r="D13" s="35"/>
      <c r="E13" s="35"/>
      <c r="F13" s="23"/>
      <c r="G13" s="1"/>
    </row>
    <row r="14" spans="1:7" ht="27" customHeight="1" x14ac:dyDescent="0.25">
      <c r="A14" s="1"/>
      <c r="B14" s="82" t="s">
        <v>156</v>
      </c>
      <c r="C14" s="83"/>
      <c r="D14" s="83"/>
      <c r="E14" s="83"/>
      <c r="F14" s="84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1" t="s">
        <v>52</v>
      </c>
      <c r="C16" s="92"/>
      <c r="D16" s="92"/>
      <c r="E16" s="92"/>
      <c r="F16" s="93"/>
      <c r="G16" s="1"/>
    </row>
    <row r="17" spans="1:7" x14ac:dyDescent="0.25">
      <c r="A17" s="1"/>
      <c r="B17" s="97" t="s">
        <v>53</v>
      </c>
      <c r="C17" s="98"/>
      <c r="D17" s="99"/>
      <c r="E17" s="9">
        <v>46404939.326341055</v>
      </c>
      <c r="F17" s="14" t="s">
        <v>3</v>
      </c>
      <c r="G17" s="1"/>
    </row>
    <row r="18" spans="1:7" x14ac:dyDescent="0.25">
      <c r="A18" s="1"/>
      <c r="B18" s="97" t="s">
        <v>54</v>
      </c>
      <c r="C18" s="98"/>
      <c r="D18" s="99"/>
      <c r="E18" s="9">
        <v>46141659</v>
      </c>
      <c r="F18" s="14" t="s">
        <v>3</v>
      </c>
      <c r="G18" s="1"/>
    </row>
    <row r="19" spans="1:7" x14ac:dyDescent="0.25">
      <c r="A19" s="1"/>
      <c r="B19" s="97" t="s">
        <v>40</v>
      </c>
      <c r="C19" s="98"/>
      <c r="D19" s="99"/>
      <c r="E19" s="9">
        <v>0</v>
      </c>
      <c r="F19" s="14" t="s">
        <v>3</v>
      </c>
      <c r="G19" s="1"/>
    </row>
    <row r="20" spans="1:7" x14ac:dyDescent="0.25">
      <c r="A20" s="1"/>
      <c r="B20" s="95" t="s">
        <v>55</v>
      </c>
      <c r="C20" s="96"/>
      <c r="D20" s="106"/>
      <c r="E20" s="10">
        <f>E17-(E18-E19)</f>
        <v>263280.32634105533</v>
      </c>
      <c r="F20" s="19" t="s">
        <v>3</v>
      </c>
      <c r="G20" s="1"/>
    </row>
    <row r="21" spans="1:7" x14ac:dyDescent="0.25">
      <c r="A21" s="1"/>
      <c r="B21" s="41"/>
      <c r="C21" s="35"/>
      <c r="D21" s="35"/>
      <c r="E21" s="35"/>
      <c r="F21" s="23"/>
      <c r="G21" s="1"/>
    </row>
    <row r="22" spans="1:7" ht="28.5" customHeight="1" x14ac:dyDescent="0.25">
      <c r="A22" s="1"/>
      <c r="B22" s="82" t="s">
        <v>218</v>
      </c>
      <c r="C22" s="83"/>
      <c r="D22" s="83"/>
      <c r="E22" s="83"/>
      <c r="F22" s="84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1" t="s">
        <v>245</v>
      </c>
      <c r="C24" s="92"/>
      <c r="D24" s="92"/>
      <c r="E24" s="92"/>
      <c r="F24" s="93"/>
      <c r="G24" s="1"/>
    </row>
    <row r="25" spans="1:7" x14ac:dyDescent="0.25">
      <c r="A25" s="1"/>
      <c r="B25" s="97" t="s">
        <v>246</v>
      </c>
      <c r="C25" s="98"/>
      <c r="D25" s="99"/>
      <c r="E25" s="9">
        <v>50228550.00238809</v>
      </c>
      <c r="F25" s="14" t="s">
        <v>3</v>
      </c>
      <c r="G25" s="1"/>
    </row>
    <row r="26" spans="1:7" x14ac:dyDescent="0.25">
      <c r="A26" s="1"/>
      <c r="B26" s="97" t="s">
        <v>247</v>
      </c>
      <c r="C26" s="98"/>
      <c r="D26" s="99"/>
      <c r="E26" s="9">
        <v>46965942</v>
      </c>
      <c r="F26" s="14" t="s">
        <v>3</v>
      </c>
      <c r="G26" s="1"/>
    </row>
    <row r="27" spans="1:7" x14ac:dyDescent="0.25">
      <c r="A27" s="1"/>
      <c r="B27" s="97" t="s">
        <v>40</v>
      </c>
      <c r="C27" s="98"/>
      <c r="D27" s="99"/>
      <c r="E27" s="9">
        <v>0</v>
      </c>
      <c r="F27" s="14" t="s">
        <v>3</v>
      </c>
      <c r="G27" s="1"/>
    </row>
    <row r="28" spans="1:7" x14ac:dyDescent="0.25">
      <c r="A28" s="1"/>
      <c r="B28" s="95" t="s">
        <v>248</v>
      </c>
      <c r="C28" s="96"/>
      <c r="D28" s="106"/>
      <c r="E28" s="10">
        <f>E25-(E26-E27)</f>
        <v>3262608.0023880899</v>
      </c>
      <c r="F28" s="19" t="s">
        <v>3</v>
      </c>
      <c r="G28" s="1"/>
    </row>
    <row r="29" spans="1:7" x14ac:dyDescent="0.25">
      <c r="A29" s="1"/>
      <c r="B29" s="41"/>
      <c r="C29" s="35"/>
      <c r="D29" s="35"/>
      <c r="E29" s="35"/>
      <c r="F29" s="23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1" t="s">
        <v>250</v>
      </c>
      <c r="C31" s="92"/>
      <c r="D31" s="92"/>
      <c r="E31" s="92"/>
      <c r="F31" s="93"/>
      <c r="G31" s="1"/>
    </row>
    <row r="32" spans="1:7" x14ac:dyDescent="0.25">
      <c r="A32" s="1"/>
      <c r="B32" s="95" t="s">
        <v>251</v>
      </c>
      <c r="C32" s="96"/>
      <c r="D32" s="106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-1331910.2326865308</v>
      </c>
      <c r="F32" s="19" t="s">
        <v>3</v>
      </c>
      <c r="G32" s="1"/>
    </row>
    <row r="33" spans="1:7" x14ac:dyDescent="0.25">
      <c r="A33" s="1"/>
      <c r="B33" s="91"/>
      <c r="C33" s="92"/>
      <c r="D33" s="92"/>
      <c r="E33" s="92"/>
      <c r="F33" s="93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91" t="s">
        <v>249</v>
      </c>
      <c r="C35" s="92"/>
      <c r="D35" s="92"/>
      <c r="E35" s="92"/>
      <c r="F35" s="93"/>
      <c r="G35" s="1"/>
    </row>
    <row r="36" spans="1:7" x14ac:dyDescent="0.25">
      <c r="A36" s="1"/>
      <c r="B36" s="107" t="s">
        <v>276</v>
      </c>
      <c r="C36" s="108"/>
      <c r="D36" s="109"/>
      <c r="E36" s="9">
        <v>0</v>
      </c>
      <c r="F36" s="14"/>
      <c r="G36" s="1"/>
    </row>
    <row r="37" spans="1:7" x14ac:dyDescent="0.25">
      <c r="A37" s="1"/>
      <c r="B37" s="107" t="s">
        <v>277</v>
      </c>
      <c r="C37" s="108"/>
      <c r="D37" s="109"/>
      <c r="E37" s="9">
        <v>1</v>
      </c>
      <c r="F37" s="14"/>
      <c r="G37" s="1"/>
    </row>
    <row r="38" spans="1:7" x14ac:dyDescent="0.25">
      <c r="A38" s="1"/>
      <c r="B38" s="107" t="s">
        <v>252</v>
      </c>
      <c r="C38" s="108"/>
      <c r="D38" s="109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7" t="s">
        <v>152</v>
      </c>
      <c r="C39" s="108"/>
      <c r="D39" s="109"/>
      <c r="E39" s="9">
        <v>2</v>
      </c>
      <c r="F39" s="14" t="s">
        <v>21</v>
      </c>
      <c r="G39" s="1"/>
    </row>
    <row r="40" spans="1:7" x14ac:dyDescent="0.25">
      <c r="A40" s="1"/>
      <c r="B40" s="113" t="s">
        <v>253</v>
      </c>
      <c r="C40" s="113"/>
      <c r="D40" s="113"/>
      <c r="E40" s="10">
        <f>E38/E39</f>
        <v>0</v>
      </c>
      <c r="F40" s="19" t="s">
        <v>3</v>
      </c>
      <c r="G40" s="1"/>
    </row>
    <row r="41" spans="1:7" x14ac:dyDescent="0.25">
      <c r="A41" s="1"/>
      <c r="B41" s="110"/>
      <c r="C41" s="111"/>
      <c r="D41" s="111"/>
      <c r="E41" s="111"/>
      <c r="F41" s="112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5"/>
      <c r="B47" s="45"/>
      <c r="C47" s="45"/>
      <c r="D47" s="45"/>
      <c r="E47" s="45"/>
      <c r="F47" s="45"/>
      <c r="G47" s="45"/>
    </row>
    <row r="48" spans="1:7" x14ac:dyDescent="0.25">
      <c r="A48" s="45"/>
      <c r="B48" s="45"/>
      <c r="C48" s="45"/>
      <c r="D48" s="45"/>
      <c r="E48" s="45"/>
      <c r="F48" s="45"/>
      <c r="G48" s="45"/>
    </row>
    <row r="49" spans="1:7" x14ac:dyDescent="0.25">
      <c r="A49" s="45"/>
      <c r="B49" s="45"/>
      <c r="C49" s="45"/>
      <c r="D49" s="45"/>
      <c r="E49" s="45"/>
      <c r="F49" s="45"/>
      <c r="G49" s="45"/>
    </row>
    <row r="50" spans="1:7" x14ac:dyDescent="0.25">
      <c r="A50" s="45"/>
      <c r="B50" s="45"/>
      <c r="C50" s="45"/>
      <c r="D50" s="45"/>
      <c r="E50" s="45"/>
      <c r="F50" s="45"/>
      <c r="G50" s="45"/>
    </row>
    <row r="51" spans="1:7" x14ac:dyDescent="0.25">
      <c r="A51" s="45"/>
      <c r="B51" s="45"/>
      <c r="C51" s="45"/>
      <c r="D51" s="45"/>
      <c r="E51" s="45"/>
      <c r="F51" s="45"/>
      <c r="G51" s="45"/>
    </row>
    <row r="52" spans="1:7" x14ac:dyDescent="0.25">
      <c r="A52" s="45"/>
      <c r="B52" s="45"/>
      <c r="C52" s="45"/>
      <c r="D52" s="45"/>
      <c r="E52" s="45"/>
      <c r="F52" s="45"/>
      <c r="G52" s="45"/>
    </row>
    <row r="53" spans="1:7" x14ac:dyDescent="0.25">
      <c r="A53" s="45"/>
      <c r="B53" s="45"/>
      <c r="C53" s="45"/>
      <c r="D53" s="45"/>
      <c r="E53" s="45"/>
      <c r="F53" s="45"/>
      <c r="G53" s="45"/>
    </row>
    <row r="54" spans="1:7" x14ac:dyDescent="0.25">
      <c r="A54" s="45"/>
      <c r="B54" s="45"/>
      <c r="C54" s="45"/>
      <c r="D54" s="45"/>
      <c r="E54" s="45"/>
      <c r="F54" s="45"/>
      <c r="G54" s="45"/>
    </row>
    <row r="55" spans="1:7" x14ac:dyDescent="0.25">
      <c r="A55" s="45"/>
      <c r="B55" s="45"/>
      <c r="C55" s="45"/>
      <c r="D55" s="45"/>
      <c r="E55" s="45"/>
      <c r="F55" s="45"/>
      <c r="G55" s="45"/>
    </row>
    <row r="56" spans="1:7" x14ac:dyDescent="0.25">
      <c r="A56" s="45"/>
      <c r="B56" s="45"/>
      <c r="C56" s="45"/>
      <c r="D56" s="45"/>
      <c r="E56" s="45"/>
      <c r="F56" s="45"/>
      <c r="G56" s="45"/>
    </row>
    <row r="57" spans="1:7" x14ac:dyDescent="0.25">
      <c r="A57" s="45"/>
      <c r="B57" s="45"/>
      <c r="C57" s="45"/>
      <c r="D57" s="45"/>
      <c r="E57" s="45"/>
      <c r="F57" s="45"/>
      <c r="G57" s="45"/>
    </row>
    <row r="58" spans="1:7" x14ac:dyDescent="0.25">
      <c r="A58" s="45"/>
      <c r="B58" s="45"/>
      <c r="C58" s="45"/>
      <c r="D58" s="45"/>
      <c r="E58" s="45"/>
      <c r="F58" s="45"/>
      <c r="G58" s="45"/>
    </row>
    <row r="59" spans="1:7" x14ac:dyDescent="0.25">
      <c r="A59" s="45"/>
      <c r="B59" s="45"/>
      <c r="C59" s="45"/>
      <c r="D59" s="45"/>
      <c r="E59" s="45"/>
      <c r="F59" s="45"/>
      <c r="G59" s="45"/>
    </row>
    <row r="60" spans="1:7" x14ac:dyDescent="0.25">
      <c r="A60" s="45"/>
      <c r="B60" s="45"/>
      <c r="C60" s="45"/>
      <c r="D60" s="45"/>
      <c r="E60" s="45"/>
      <c r="F60" s="45"/>
      <c r="G60" s="45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4" t="s">
        <v>201</v>
      </c>
      <c r="C3" s="94"/>
      <c r="D3" s="94"/>
      <c r="E3" s="94"/>
      <c r="F3" s="94"/>
      <c r="G3" s="1"/>
    </row>
    <row r="4" spans="1:7" ht="15" customHeight="1" x14ac:dyDescent="0.25">
      <c r="A4" s="1"/>
      <c r="B4" s="94"/>
      <c r="C4" s="94"/>
      <c r="D4" s="94"/>
      <c r="E4" s="94"/>
      <c r="F4" s="9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1" t="s">
        <v>202</v>
      </c>
      <c r="C9" s="92"/>
      <c r="D9" s="92"/>
      <c r="E9" s="92"/>
      <c r="F9" s="93"/>
      <c r="G9" s="1"/>
    </row>
    <row r="10" spans="1:7" x14ac:dyDescent="0.25">
      <c r="A10" s="1"/>
      <c r="B10" s="82" t="s">
        <v>150</v>
      </c>
      <c r="C10" s="83"/>
      <c r="D10" s="84"/>
      <c r="E10" s="7">
        <v>0</v>
      </c>
      <c r="F10" s="8" t="s">
        <v>3</v>
      </c>
      <c r="G10" s="1"/>
    </row>
    <row r="11" spans="1:7" x14ac:dyDescent="0.25">
      <c r="A11" s="1"/>
      <c r="B11" s="97" t="s">
        <v>203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95" t="s">
        <v>151</v>
      </c>
      <c r="C12" s="96"/>
      <c r="D12" s="106"/>
      <c r="E12" s="10">
        <f>E11-E10</f>
        <v>0</v>
      </c>
      <c r="F12" s="11" t="s">
        <v>3</v>
      </c>
      <c r="G12" s="1"/>
    </row>
    <row r="13" spans="1:7" x14ac:dyDescent="0.25">
      <c r="A13" s="1"/>
      <c r="B13" s="91" t="s">
        <v>134</v>
      </c>
      <c r="C13" s="92"/>
      <c r="D13" s="92"/>
      <c r="E13" s="92"/>
      <c r="F13" s="93"/>
      <c r="G13" s="1"/>
    </row>
    <row r="14" spans="1:7" x14ac:dyDescent="0.25">
      <c r="A14" s="1"/>
      <c r="B14" s="97" t="s">
        <v>204</v>
      </c>
      <c r="C14" s="98"/>
      <c r="D14" s="99"/>
      <c r="E14" s="9">
        <v>3900663</v>
      </c>
      <c r="F14" s="8" t="s">
        <v>3</v>
      </c>
      <c r="G14" s="1"/>
    </row>
    <row r="15" spans="1:7" x14ac:dyDescent="0.25">
      <c r="A15" s="1"/>
      <c r="B15" s="82" t="s">
        <v>205</v>
      </c>
      <c r="C15" s="83"/>
      <c r="D15" s="84"/>
      <c r="E15" s="9">
        <v>815254</v>
      </c>
      <c r="F15" s="8" t="s">
        <v>3</v>
      </c>
      <c r="G15" s="1"/>
    </row>
    <row r="16" spans="1:7" x14ac:dyDescent="0.25">
      <c r="A16" s="1"/>
      <c r="B16" s="95" t="s">
        <v>151</v>
      </c>
      <c r="C16" s="96"/>
      <c r="D16" s="106"/>
      <c r="E16" s="10">
        <f>E15-E14</f>
        <v>-3085409</v>
      </c>
      <c r="F16" s="11" t="s">
        <v>3</v>
      </c>
      <c r="G16" s="1"/>
    </row>
    <row r="17" spans="1:7" x14ac:dyDescent="0.25">
      <c r="A17" s="1"/>
      <c r="B17" s="41" t="s">
        <v>206</v>
      </c>
      <c r="C17" s="35"/>
      <c r="D17" s="35"/>
      <c r="E17" s="12">
        <f>E12+E16</f>
        <v>-3085409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236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1" t="s">
        <v>237</v>
      </c>
      <c r="C8" s="92"/>
      <c r="D8" s="92"/>
      <c r="E8" s="92"/>
      <c r="F8" s="92"/>
      <c r="G8" s="92"/>
      <c r="H8" s="93"/>
      <c r="I8" s="1"/>
    </row>
    <row r="9" spans="1:9" ht="39.75" customHeight="1" x14ac:dyDescent="0.25">
      <c r="A9" s="1"/>
      <c r="B9" s="22" t="s">
        <v>0</v>
      </c>
      <c r="C9" s="22" t="s">
        <v>1</v>
      </c>
      <c r="D9" s="22" t="s">
        <v>11</v>
      </c>
      <c r="E9" s="11" t="s">
        <v>2</v>
      </c>
      <c r="F9" s="11" t="s">
        <v>12</v>
      </c>
      <c r="G9" s="11" t="s">
        <v>37</v>
      </c>
      <c r="H9" s="40"/>
      <c r="I9" s="1"/>
    </row>
    <row r="10" spans="1:9" x14ac:dyDescent="0.25">
      <c r="A10" s="1"/>
      <c r="B10" s="61" t="s">
        <v>271</v>
      </c>
      <c r="C10" s="117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91" t="s">
        <v>238</v>
      </c>
      <c r="C11" s="92"/>
      <c r="D11" s="93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0" t="s">
        <v>168</v>
      </c>
      <c r="C3" s="80"/>
      <c r="D3" s="80"/>
      <c r="E3" s="80"/>
      <c r="F3" s="80"/>
      <c r="G3" s="1"/>
    </row>
    <row r="4" spans="1:7" ht="15" customHeight="1" x14ac:dyDescent="0.25">
      <c r="A4" s="1"/>
      <c r="B4" s="80"/>
      <c r="C4" s="80"/>
      <c r="D4" s="80"/>
      <c r="E4" s="80"/>
      <c r="F4" s="8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108</v>
      </c>
      <c r="C8" s="35"/>
      <c r="D8" s="35"/>
      <c r="E8" s="35"/>
      <c r="F8" s="23"/>
      <c r="G8" s="1"/>
    </row>
    <row r="9" spans="1:7" ht="17.25" customHeight="1" x14ac:dyDescent="0.25">
      <c r="A9" s="1"/>
      <c r="B9" s="56" t="s">
        <v>18</v>
      </c>
      <c r="C9" s="56" t="s">
        <v>12</v>
      </c>
      <c r="D9" s="58"/>
      <c r="E9" s="56" t="s">
        <v>38</v>
      </c>
      <c r="F9" s="40"/>
      <c r="G9" s="1"/>
    </row>
    <row r="10" spans="1:7" x14ac:dyDescent="0.25">
      <c r="A10" s="1"/>
      <c r="B10" s="28" t="s">
        <v>239</v>
      </c>
      <c r="C10" s="25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28" t="s">
        <v>272</v>
      </c>
      <c r="C11" s="25">
        <v>93604</v>
      </c>
      <c r="D11" s="14" t="s">
        <v>3</v>
      </c>
      <c r="E11" s="9">
        <v>966413</v>
      </c>
      <c r="F11" s="14" t="s">
        <v>3</v>
      </c>
      <c r="G11" s="1"/>
    </row>
    <row r="12" spans="1:7" x14ac:dyDescent="0.25">
      <c r="A12" s="1"/>
      <c r="B12" s="118" t="s">
        <v>273</v>
      </c>
      <c r="C12" s="25">
        <v>0</v>
      </c>
      <c r="D12" s="14" t="s">
        <v>3</v>
      </c>
      <c r="E12" s="9">
        <v>1202143</v>
      </c>
      <c r="F12" s="14" t="s">
        <v>3</v>
      </c>
      <c r="G12" s="1"/>
    </row>
    <row r="13" spans="1:7" x14ac:dyDescent="0.25">
      <c r="A13" s="1"/>
      <c r="B13" s="28" t="s">
        <v>274</v>
      </c>
      <c r="C13" s="25">
        <v>229756</v>
      </c>
      <c r="D13" s="14" t="s">
        <v>3</v>
      </c>
      <c r="E13" s="9">
        <v>0</v>
      </c>
      <c r="F13" s="14" t="s">
        <v>3</v>
      </c>
      <c r="G13" s="1"/>
    </row>
    <row r="14" spans="1:7" x14ac:dyDescent="0.25">
      <c r="A14" s="1"/>
      <c r="B14" s="41" t="s">
        <v>50</v>
      </c>
      <c r="C14" s="12">
        <f>SUM(C10:C13)</f>
        <v>323360</v>
      </c>
      <c r="D14" s="13" t="s">
        <v>3</v>
      </c>
      <c r="E14" s="12">
        <f>SUM(E10:E13)</f>
        <v>2168556</v>
      </c>
      <c r="F14" s="13" t="s">
        <v>3</v>
      </c>
      <c r="G14" s="1"/>
    </row>
    <row r="15" spans="1:7" x14ac:dyDescent="0.25">
      <c r="A15" s="1"/>
      <c r="B15" s="41" t="s">
        <v>219</v>
      </c>
      <c r="C15" s="12">
        <f>C14*(1+'Fane 14. Nøgletal'!C13)</f>
        <v>327304.99199999997</v>
      </c>
      <c r="D15" s="13" t="s">
        <v>3</v>
      </c>
      <c r="E15" s="12">
        <f>E14*(1+'Fane 14. Nøgletal'!C13)</f>
        <v>2195012.3832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sGC+0AB1j4cGEHYpBsTifOnzFxm66KQKX5ilFT9czHzfFrk56OEGiByYjeDQz1kWJtc7QXRDxY/CvU+yJT/rNw==" saltValue="OVm9IApPgSO8LEA2a8ZI/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0" t="s">
        <v>167</v>
      </c>
      <c r="C3" s="80"/>
      <c r="D3" s="80"/>
      <c r="E3" s="80"/>
      <c r="F3" s="80"/>
      <c r="G3" s="1"/>
    </row>
    <row r="4" spans="1:7" ht="15" customHeight="1" x14ac:dyDescent="0.25">
      <c r="A4" s="1"/>
      <c r="B4" s="80"/>
      <c r="C4" s="80"/>
      <c r="D4" s="80"/>
      <c r="E4" s="80"/>
      <c r="F4" s="8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141</v>
      </c>
      <c r="C8" s="92"/>
      <c r="D8" s="92"/>
      <c r="E8" s="92"/>
      <c r="F8" s="93"/>
      <c r="G8" s="1"/>
    </row>
    <row r="9" spans="1:7" x14ac:dyDescent="0.25">
      <c r="A9" s="1"/>
      <c r="B9" s="46" t="s">
        <v>18</v>
      </c>
      <c r="C9" s="46" t="s">
        <v>12</v>
      </c>
      <c r="D9" s="47"/>
      <c r="E9" s="46" t="s">
        <v>38</v>
      </c>
      <c r="F9" s="40"/>
      <c r="G9" s="1"/>
    </row>
    <row r="10" spans="1:7" x14ac:dyDescent="0.25">
      <c r="A10" s="1"/>
      <c r="B10" s="18" t="s">
        <v>274</v>
      </c>
      <c r="C10" s="20">
        <v>1148781</v>
      </c>
      <c r="D10" s="14" t="s">
        <v>3</v>
      </c>
      <c r="E10" s="17">
        <v>0</v>
      </c>
      <c r="F10" s="14" t="s">
        <v>3</v>
      </c>
      <c r="G10" s="1"/>
    </row>
    <row r="11" spans="1:7" x14ac:dyDescent="0.25">
      <c r="A11" s="1"/>
      <c r="B11" s="41" t="s">
        <v>220</v>
      </c>
      <c r="C11" s="12">
        <f>SUM(C10:C10)</f>
        <v>1148781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0" t="s">
        <v>10</v>
      </c>
      <c r="C12" s="31">
        <f>-C11*'Fane 5. Individuelt eff. krav'!G11</f>
        <v>0</v>
      </c>
      <c r="D12" s="32" t="s">
        <v>3</v>
      </c>
      <c r="E12" s="31">
        <f>-E11*'Fane 5. Individuelt eff. krav'!G11</f>
        <v>0</v>
      </c>
      <c r="F12" s="32" t="s">
        <v>3</v>
      </c>
      <c r="G12" s="1"/>
    </row>
    <row r="13" spans="1:7" x14ac:dyDescent="0.25">
      <c r="A13" s="1"/>
      <c r="B13" s="30" t="s">
        <v>145</v>
      </c>
      <c r="C13" s="31">
        <f>-C11*'Fane 14. Nøgletal'!C27</f>
        <v>-22975.62</v>
      </c>
      <c r="D13" s="32" t="s">
        <v>3</v>
      </c>
      <c r="E13" s="31">
        <f>-E11*'Fane 14. Nøgletal'!C22</f>
        <v>0</v>
      </c>
      <c r="F13" s="32" t="s">
        <v>3</v>
      </c>
      <c r="G13" s="1"/>
    </row>
    <row r="14" spans="1:7" x14ac:dyDescent="0.25">
      <c r="A14" s="1"/>
      <c r="B14" s="41" t="s">
        <v>144</v>
      </c>
      <c r="C14" s="12">
        <f>SUM(C11:C13)*(1+'Fane 14. Nøgletal'!C13)^2</f>
        <v>1153442.5961447591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1" t="s">
        <v>142</v>
      </c>
      <c r="C16" s="92"/>
      <c r="D16" s="92"/>
      <c r="E16" s="92"/>
      <c r="F16" s="93"/>
      <c r="G16" s="1"/>
    </row>
    <row r="17" spans="1:7" x14ac:dyDescent="0.25">
      <c r="A17" s="1"/>
      <c r="B17" s="46" t="s">
        <v>18</v>
      </c>
      <c r="C17" s="46" t="s">
        <v>12</v>
      </c>
      <c r="D17" s="47"/>
      <c r="E17" s="46" t="s">
        <v>38</v>
      </c>
      <c r="F17" s="40"/>
      <c r="G17" s="1"/>
    </row>
    <row r="18" spans="1:7" x14ac:dyDescent="0.25">
      <c r="A18" s="1"/>
      <c r="B18" s="18" t="s">
        <v>275</v>
      </c>
      <c r="C18" s="20">
        <v>0</v>
      </c>
      <c r="D18" s="14" t="s">
        <v>3</v>
      </c>
      <c r="E18" s="17">
        <v>0</v>
      </c>
      <c r="F18" s="14" t="s">
        <v>3</v>
      </c>
      <c r="G18" s="1"/>
    </row>
    <row r="19" spans="1:7" x14ac:dyDescent="0.25">
      <c r="A19" s="1"/>
      <c r="B19" s="41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30" t="s">
        <v>10</v>
      </c>
      <c r="C20" s="31">
        <f>-C19*'Fane 5. Individuelt eff. krav'!G11</f>
        <v>0</v>
      </c>
      <c r="D20" s="32" t="s">
        <v>3</v>
      </c>
      <c r="E20" s="31">
        <f>-E19*'Fane 5. Individuelt eff. krav'!G11</f>
        <v>0</v>
      </c>
      <c r="F20" s="32" t="s">
        <v>3</v>
      </c>
      <c r="G20" s="1"/>
    </row>
    <row r="21" spans="1:7" x14ac:dyDescent="0.25">
      <c r="A21" s="1"/>
      <c r="B21" s="30" t="s">
        <v>145</v>
      </c>
      <c r="C21" s="31">
        <f>-C19*'Fane 14. Nøgletal'!C27</f>
        <v>0</v>
      </c>
      <c r="D21" s="32" t="s">
        <v>3</v>
      </c>
      <c r="E21" s="31">
        <f>-E19*'Fane 14. Nøgletal'!C22</f>
        <v>0</v>
      </c>
      <c r="F21" s="32" t="s">
        <v>3</v>
      </c>
      <c r="G21" s="1"/>
    </row>
    <row r="22" spans="1:7" x14ac:dyDescent="0.25">
      <c r="A22" s="1"/>
      <c r="B22" s="41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1" t="s">
        <v>143</v>
      </c>
      <c r="C24" s="92"/>
      <c r="D24" s="92"/>
      <c r="E24" s="92"/>
      <c r="F24" s="93"/>
      <c r="G24" s="1"/>
    </row>
    <row r="25" spans="1:7" x14ac:dyDescent="0.25">
      <c r="A25" s="1"/>
      <c r="B25" s="46" t="s">
        <v>18</v>
      </c>
      <c r="C25" s="46" t="s">
        <v>12</v>
      </c>
      <c r="D25" s="47"/>
      <c r="E25" s="46" t="s">
        <v>38</v>
      </c>
      <c r="F25" s="40"/>
      <c r="G25" s="1"/>
    </row>
    <row r="26" spans="1:7" x14ac:dyDescent="0.25">
      <c r="A26" s="1"/>
      <c r="B26" s="18" t="s">
        <v>275</v>
      </c>
      <c r="C26" s="20">
        <v>0</v>
      </c>
      <c r="D26" s="14" t="s">
        <v>3</v>
      </c>
      <c r="E26" s="17">
        <v>0</v>
      </c>
      <c r="F26" s="14" t="s">
        <v>3</v>
      </c>
      <c r="G26" s="1"/>
    </row>
    <row r="27" spans="1:7" x14ac:dyDescent="0.25">
      <c r="A27" s="1"/>
      <c r="B27" s="41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30" t="s">
        <v>10</v>
      </c>
      <c r="C28" s="31">
        <f>-C27*'Fane 5. Individuelt eff. krav'!G11</f>
        <v>0</v>
      </c>
      <c r="D28" s="32" t="s">
        <v>3</v>
      </c>
      <c r="E28" s="31">
        <f>-E27*'Fane 5. Individuelt eff. krav'!G11</f>
        <v>0</v>
      </c>
      <c r="F28" s="32" t="s">
        <v>3</v>
      </c>
      <c r="G28" s="1"/>
    </row>
    <row r="29" spans="1:7" x14ac:dyDescent="0.25">
      <c r="A29" s="1"/>
      <c r="B29" s="30" t="s">
        <v>145</v>
      </c>
      <c r="C29" s="31">
        <f>-C27*'Fane 14. Nøgletal'!C27</f>
        <v>0</v>
      </c>
      <c r="D29" s="32" t="s">
        <v>3</v>
      </c>
      <c r="E29" s="31">
        <f>-E27*'Fane 14. Nøgletal'!C22</f>
        <v>0</v>
      </c>
      <c r="F29" s="32" t="s">
        <v>3</v>
      </c>
      <c r="G29" s="1"/>
    </row>
    <row r="30" spans="1:7" x14ac:dyDescent="0.25">
      <c r="A30" s="1"/>
      <c r="B30" s="41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1" t="s">
        <v>223</v>
      </c>
      <c r="C32" s="92"/>
      <c r="D32" s="92"/>
      <c r="E32" s="92"/>
      <c r="F32" s="93"/>
      <c r="G32" s="1"/>
    </row>
    <row r="33" spans="1:7" x14ac:dyDescent="0.25">
      <c r="A33" s="1"/>
      <c r="B33" s="46" t="s">
        <v>18</v>
      </c>
      <c r="C33" s="46" t="s">
        <v>12</v>
      </c>
      <c r="D33" s="47"/>
      <c r="E33" s="46" t="s">
        <v>38</v>
      </c>
      <c r="F33" s="40"/>
      <c r="G33" s="1"/>
    </row>
    <row r="34" spans="1:7" x14ac:dyDescent="0.25">
      <c r="A34" s="1"/>
      <c r="B34" s="18" t="s">
        <v>275</v>
      </c>
      <c r="C34" s="20">
        <v>0</v>
      </c>
      <c r="D34" s="14" t="s">
        <v>3</v>
      </c>
      <c r="E34" s="17">
        <v>0</v>
      </c>
      <c r="F34" s="14" t="s">
        <v>3</v>
      </c>
      <c r="G34" s="1"/>
    </row>
    <row r="35" spans="1:7" x14ac:dyDescent="0.25">
      <c r="A35" s="1"/>
      <c r="B35" s="41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30" t="s">
        <v>10</v>
      </c>
      <c r="C36" s="31">
        <f>-C35*'Fane 5. Individuelt eff. krav'!G11</f>
        <v>0</v>
      </c>
      <c r="D36" s="32" t="s">
        <v>3</v>
      </c>
      <c r="E36" s="31">
        <f>-E35*'Fane 5. Individuelt eff. krav'!G11</f>
        <v>0</v>
      </c>
      <c r="F36" s="32" t="s">
        <v>3</v>
      </c>
      <c r="G36" s="1"/>
    </row>
    <row r="37" spans="1:7" x14ac:dyDescent="0.25">
      <c r="A37" s="1"/>
      <c r="B37" s="30" t="s">
        <v>145</v>
      </c>
      <c r="C37" s="31">
        <f>-C35*'Fane 14. Nøgletal'!C27</f>
        <v>0</v>
      </c>
      <c r="D37" s="32" t="s">
        <v>3</v>
      </c>
      <c r="E37" s="31">
        <f>-E35*'Fane 14. Nøgletal'!C22</f>
        <v>0</v>
      </c>
      <c r="F37" s="32" t="s">
        <v>3</v>
      </c>
      <c r="G37" s="1"/>
    </row>
    <row r="38" spans="1:7" x14ac:dyDescent="0.25">
      <c r="A38" s="1"/>
      <c r="B38" s="41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luncmUJ/IfYZcIDGIPde3l1bjswOx8Xlu+Ch1lv0bcqfnXEz5qq8JHoxySAr3PZizqHiZYAlj9nesOyKQB+drw==" saltValue="GiZsf82AdlzvOJ7EqtDf6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4" t="s">
        <v>169</v>
      </c>
      <c r="C3" s="94"/>
      <c r="D3" s="94"/>
      <c r="E3" s="94"/>
      <c r="F3" s="94"/>
      <c r="G3" s="1"/>
    </row>
    <row r="4" spans="1:7" ht="15" customHeight="1" x14ac:dyDescent="0.25">
      <c r="A4" s="1"/>
      <c r="B4" s="94"/>
      <c r="C4" s="94"/>
      <c r="D4" s="94"/>
      <c r="E4" s="94"/>
      <c r="F4" s="94"/>
      <c r="G4" s="1"/>
    </row>
    <row r="5" spans="1:7" x14ac:dyDescent="0.25">
      <c r="A5" s="1"/>
      <c r="B5" s="94"/>
      <c r="C5" s="94"/>
      <c r="D5" s="94"/>
      <c r="E5" s="94"/>
      <c r="F5" s="9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125</v>
      </c>
      <c r="C8" s="92"/>
      <c r="D8" s="92"/>
      <c r="E8" s="92"/>
      <c r="F8" s="93"/>
      <c r="G8" s="1"/>
    </row>
    <row r="9" spans="1:7" x14ac:dyDescent="0.25">
      <c r="A9" s="1"/>
      <c r="B9" s="114" t="s">
        <v>207</v>
      </c>
      <c r="C9" s="115"/>
      <c r="D9" s="116"/>
      <c r="E9" s="9">
        <v>0</v>
      </c>
      <c r="F9" s="14" t="s">
        <v>3</v>
      </c>
      <c r="G9" s="1"/>
    </row>
    <row r="10" spans="1:7" x14ac:dyDescent="0.25">
      <c r="A10" s="1"/>
      <c r="B10" s="85" t="s">
        <v>10</v>
      </c>
      <c r="C10" s="86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5" t="s">
        <v>29</v>
      </c>
      <c r="C11" s="86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91" t="s">
        <v>128</v>
      </c>
      <c r="C12" s="92"/>
      <c r="D12" s="93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1" t="s">
        <v>126</v>
      </c>
      <c r="C14" s="92"/>
      <c r="D14" s="92"/>
      <c r="E14" s="92"/>
      <c r="F14" s="93"/>
      <c r="G14" s="1"/>
    </row>
    <row r="15" spans="1:7" x14ac:dyDescent="0.25">
      <c r="A15" s="1"/>
      <c r="B15" s="114" t="s">
        <v>207</v>
      </c>
      <c r="C15" s="115"/>
      <c r="D15" s="116"/>
      <c r="E15" s="9">
        <v>0</v>
      </c>
      <c r="F15" s="14" t="s">
        <v>3</v>
      </c>
      <c r="G15" s="1"/>
    </row>
    <row r="16" spans="1:7" x14ac:dyDescent="0.25">
      <c r="A16" s="1"/>
      <c r="B16" s="85" t="s">
        <v>10</v>
      </c>
      <c r="C16" s="86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5" t="s">
        <v>29</v>
      </c>
      <c r="C17" s="86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91" t="s">
        <v>129</v>
      </c>
      <c r="C18" s="92"/>
      <c r="D18" s="93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1" t="s">
        <v>127</v>
      </c>
      <c r="C20" s="92"/>
      <c r="D20" s="92"/>
      <c r="E20" s="92"/>
      <c r="F20" s="93"/>
      <c r="G20" s="1"/>
    </row>
    <row r="21" spans="1:7" x14ac:dyDescent="0.25">
      <c r="A21" s="1"/>
      <c r="B21" s="114" t="s">
        <v>207</v>
      </c>
      <c r="C21" s="115"/>
      <c r="D21" s="116"/>
      <c r="E21" s="9">
        <v>0</v>
      </c>
      <c r="F21" s="14" t="s">
        <v>3</v>
      </c>
      <c r="G21" s="1"/>
    </row>
    <row r="22" spans="1:7" x14ac:dyDescent="0.25">
      <c r="A22" s="1"/>
      <c r="B22" s="85" t="s">
        <v>10</v>
      </c>
      <c r="C22" s="86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5" t="s">
        <v>29</v>
      </c>
      <c r="C23" s="86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91" t="s">
        <v>130</v>
      </c>
      <c r="C24" s="92"/>
      <c r="D24" s="93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1" t="s">
        <v>208</v>
      </c>
      <c r="C26" s="92"/>
      <c r="D26" s="92"/>
      <c r="E26" s="92"/>
      <c r="F26" s="93"/>
      <c r="G26" s="1"/>
    </row>
    <row r="27" spans="1:7" x14ac:dyDescent="0.25">
      <c r="A27" s="1"/>
      <c r="B27" s="114" t="s">
        <v>207</v>
      </c>
      <c r="C27" s="115"/>
      <c r="D27" s="116"/>
      <c r="E27" s="9">
        <v>0</v>
      </c>
      <c r="F27" s="14" t="s">
        <v>3</v>
      </c>
      <c r="G27" s="1"/>
    </row>
    <row r="28" spans="1:7" x14ac:dyDescent="0.25">
      <c r="A28" s="1"/>
      <c r="B28" s="85" t="s">
        <v>10</v>
      </c>
      <c r="C28" s="86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5" t="s">
        <v>29</v>
      </c>
      <c r="C29" s="86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91" t="s">
        <v>209</v>
      </c>
      <c r="C30" s="92"/>
      <c r="D30" s="93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4" t="s">
        <v>210</v>
      </c>
      <c r="C3" s="94"/>
      <c r="D3" s="94"/>
      <c r="E3" s="94"/>
      <c r="F3" s="94"/>
      <c r="G3" s="1"/>
    </row>
    <row r="4" spans="1:7" ht="25.5" customHeight="1" x14ac:dyDescent="0.25">
      <c r="A4" s="1"/>
      <c r="B4" s="94"/>
      <c r="C4" s="94"/>
      <c r="D4" s="94"/>
      <c r="E4" s="94"/>
      <c r="F4" s="9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211</v>
      </c>
      <c r="C8" s="92"/>
      <c r="D8" s="92"/>
      <c r="E8" s="92"/>
      <c r="F8" s="93"/>
      <c r="G8" s="1"/>
    </row>
    <row r="9" spans="1:7" ht="15" customHeight="1" x14ac:dyDescent="0.25">
      <c r="A9" s="1"/>
      <c r="B9" s="39" t="s">
        <v>212</v>
      </c>
      <c r="C9" s="39" t="s">
        <v>12</v>
      </c>
      <c r="D9" s="40"/>
      <c r="E9" s="39" t="s">
        <v>38</v>
      </c>
      <c r="F9" s="40"/>
      <c r="G9" s="1"/>
    </row>
    <row r="10" spans="1:7" x14ac:dyDescent="0.25">
      <c r="A10" s="1"/>
      <c r="B10" s="28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4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4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4" t="s">
        <v>166</v>
      </c>
      <c r="C3" s="94"/>
      <c r="D3" s="94"/>
      <c r="E3" s="94"/>
      <c r="F3" s="94"/>
      <c r="G3" s="1"/>
    </row>
    <row r="4" spans="1:7" ht="25.5" customHeight="1" x14ac:dyDescent="0.25">
      <c r="A4" s="1"/>
      <c r="B4" s="94"/>
      <c r="C4" s="94"/>
      <c r="D4" s="94"/>
      <c r="E4" s="94"/>
      <c r="F4" s="9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132</v>
      </c>
      <c r="C8" s="92"/>
      <c r="D8" s="92"/>
      <c r="E8" s="92"/>
      <c r="F8" s="93"/>
      <c r="G8" s="1"/>
    </row>
    <row r="9" spans="1:7" ht="15" customHeight="1" x14ac:dyDescent="0.25">
      <c r="A9" s="1"/>
      <c r="B9" s="39" t="s">
        <v>19</v>
      </c>
      <c r="C9" s="39" t="s">
        <v>12</v>
      </c>
      <c r="D9" s="40"/>
      <c r="E9" s="39" t="s">
        <v>38</v>
      </c>
      <c r="F9" s="40"/>
      <c r="G9" s="1"/>
    </row>
    <row r="10" spans="1:7" x14ac:dyDescent="0.25">
      <c r="A10" s="1"/>
      <c r="B10" s="28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1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1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1" t="s">
        <v>131</v>
      </c>
      <c r="C14" s="92"/>
      <c r="D14" s="92"/>
      <c r="E14" s="92"/>
      <c r="F14" s="93"/>
      <c r="G14" s="1"/>
    </row>
    <row r="15" spans="1:7" ht="26.25" x14ac:dyDescent="0.25">
      <c r="A15" s="1"/>
      <c r="B15" s="39" t="s">
        <v>19</v>
      </c>
      <c r="C15" s="39" t="s">
        <v>12</v>
      </c>
      <c r="D15" s="40"/>
      <c r="E15" s="39" t="s">
        <v>38</v>
      </c>
      <c r="F15" s="40"/>
      <c r="G15" s="1"/>
    </row>
    <row r="16" spans="1:7" x14ac:dyDescent="0.25">
      <c r="A16" s="1"/>
      <c r="B16" s="28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1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1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1" t="s">
        <v>133</v>
      </c>
      <c r="C20" s="92"/>
      <c r="D20" s="92"/>
      <c r="E20" s="92"/>
      <c r="F20" s="93"/>
      <c r="G20" s="1"/>
    </row>
    <row r="21" spans="1:7" ht="26.25" x14ac:dyDescent="0.25">
      <c r="A21" s="1"/>
      <c r="B21" s="39" t="s">
        <v>19</v>
      </c>
      <c r="C21" s="39" t="s">
        <v>12</v>
      </c>
      <c r="D21" s="40"/>
      <c r="E21" s="39" t="s">
        <v>38</v>
      </c>
      <c r="F21" s="40"/>
      <c r="G21" s="1"/>
    </row>
    <row r="22" spans="1:7" x14ac:dyDescent="0.25">
      <c r="A22" s="1"/>
      <c r="B22" s="28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1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1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1" t="s">
        <v>227</v>
      </c>
      <c r="C26" s="92"/>
      <c r="D26" s="92"/>
      <c r="E26" s="92"/>
      <c r="F26" s="93"/>
      <c r="G26" s="1"/>
    </row>
    <row r="27" spans="1:7" ht="26.25" x14ac:dyDescent="0.25">
      <c r="A27" s="1"/>
      <c r="B27" s="39" t="s">
        <v>19</v>
      </c>
      <c r="C27" s="39" t="s">
        <v>12</v>
      </c>
      <c r="D27" s="40"/>
      <c r="E27" s="39" t="s">
        <v>38</v>
      </c>
      <c r="F27" s="40"/>
      <c r="G27" s="1"/>
    </row>
    <row r="28" spans="1:7" x14ac:dyDescent="0.25">
      <c r="A28" s="1"/>
      <c r="B28" s="28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1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1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4" t="s">
        <v>257</v>
      </c>
      <c r="C3" s="94"/>
      <c r="D3" s="1"/>
    </row>
    <row r="4" spans="1:4" ht="25.5" customHeight="1" x14ac:dyDescent="0.25">
      <c r="A4" s="1"/>
      <c r="B4" s="94"/>
      <c r="C4" s="9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1" t="s">
        <v>15</v>
      </c>
      <c r="C8" s="23"/>
      <c r="D8" s="1"/>
    </row>
    <row r="9" spans="1:4" x14ac:dyDescent="0.25">
      <c r="A9" s="1"/>
      <c r="B9" s="59" t="s">
        <v>170</v>
      </c>
      <c r="C9" s="29">
        <v>1.2699999999999999E-2</v>
      </c>
      <c r="D9" s="1"/>
    </row>
    <row r="10" spans="1:4" x14ac:dyDescent="0.25">
      <c r="A10" s="1"/>
      <c r="B10" s="59" t="s">
        <v>171</v>
      </c>
      <c r="C10" s="29">
        <v>1.7500000000000002E-2</v>
      </c>
      <c r="D10" s="1"/>
    </row>
    <row r="11" spans="1:4" x14ac:dyDescent="0.25">
      <c r="A11" s="1"/>
      <c r="B11" s="59" t="s">
        <v>24</v>
      </c>
      <c r="C11" s="29">
        <v>1.6899999999999998E-2</v>
      </c>
      <c r="D11" s="1"/>
    </row>
    <row r="12" spans="1:4" x14ac:dyDescent="0.25">
      <c r="A12" s="1"/>
      <c r="B12" s="42" t="s">
        <v>172</v>
      </c>
      <c r="C12" s="43">
        <v>1.9699999999999999E-2</v>
      </c>
      <c r="D12" s="1"/>
    </row>
    <row r="13" spans="1:4" x14ac:dyDescent="0.25">
      <c r="A13" s="1"/>
      <c r="B13" s="42" t="s">
        <v>217</v>
      </c>
      <c r="C13" s="43">
        <v>1.2200000000000001E-2</v>
      </c>
      <c r="D13" s="1"/>
    </row>
    <row r="14" spans="1:4" x14ac:dyDescent="0.25">
      <c r="A14" s="1"/>
      <c r="B14" s="41"/>
      <c r="C14" s="23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1" t="s">
        <v>153</v>
      </c>
      <c r="C17" s="23"/>
      <c r="D17" s="1"/>
    </row>
    <row r="18" spans="1:4" x14ac:dyDescent="0.25">
      <c r="A18" s="1"/>
      <c r="B18" s="59" t="s">
        <v>173</v>
      </c>
      <c r="C18" s="26">
        <v>9.1000000000000004E-3</v>
      </c>
      <c r="D18" s="1"/>
    </row>
    <row r="19" spans="1:4" x14ac:dyDescent="0.25">
      <c r="A19" s="1"/>
      <c r="B19" s="59" t="s">
        <v>174</v>
      </c>
      <c r="C19" s="26">
        <v>1.77E-2</v>
      </c>
      <c r="D19" s="1"/>
    </row>
    <row r="20" spans="1:4" x14ac:dyDescent="0.25">
      <c r="A20" s="1"/>
      <c r="B20" s="59" t="s">
        <v>175</v>
      </c>
      <c r="C20" s="26">
        <v>8.6999999999999994E-3</v>
      </c>
      <c r="D20" s="1"/>
    </row>
    <row r="21" spans="1:4" x14ac:dyDescent="0.25">
      <c r="A21" s="1"/>
      <c r="B21" s="59" t="s">
        <v>176</v>
      </c>
      <c r="C21" s="44">
        <v>2.8400000000000002E-2</v>
      </c>
      <c r="D21" s="1"/>
    </row>
    <row r="22" spans="1:4" x14ac:dyDescent="0.25">
      <c r="A22" s="1"/>
      <c r="B22" s="59" t="s">
        <v>229</v>
      </c>
      <c r="C22" s="44">
        <v>2.75E-2</v>
      </c>
      <c r="D22" s="1"/>
    </row>
    <row r="23" spans="1:4" x14ac:dyDescent="0.25">
      <c r="A23" s="1"/>
      <c r="B23" s="41"/>
      <c r="C23" s="23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1" t="s">
        <v>154</v>
      </c>
      <c r="C26" s="23"/>
      <c r="D26" s="1"/>
    </row>
    <row r="27" spans="1:4" x14ac:dyDescent="0.25">
      <c r="A27" s="1"/>
      <c r="B27" s="59" t="s">
        <v>177</v>
      </c>
      <c r="C27" s="29">
        <v>0.02</v>
      </c>
      <c r="D27" s="1"/>
    </row>
    <row r="28" spans="1:4" x14ac:dyDescent="0.25">
      <c r="A28" s="1"/>
      <c r="B28" s="41"/>
      <c r="C28" s="23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0" t="s">
        <v>185</v>
      </c>
      <c r="C3" s="80"/>
      <c r="D3" s="80"/>
      <c r="E3" s="1"/>
    </row>
    <row r="4" spans="1:5" ht="15" customHeight="1" x14ac:dyDescent="0.25">
      <c r="A4" s="1"/>
      <c r="B4" s="80"/>
      <c r="C4" s="80"/>
      <c r="D4" s="80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1" t="s">
        <v>14</v>
      </c>
      <c r="C8" s="35"/>
      <c r="D8" s="23"/>
      <c r="E8" s="1"/>
    </row>
    <row r="9" spans="1:5" x14ac:dyDescent="0.25">
      <c r="A9" s="1"/>
      <c r="B9" s="36" t="s">
        <v>27</v>
      </c>
      <c r="C9" s="7">
        <f>'Fane 3. Omkostninger i ØR2020'!E20</f>
        <v>52618455.333128393</v>
      </c>
      <c r="D9" s="8" t="s">
        <v>3</v>
      </c>
      <c r="E9" s="1"/>
    </row>
    <row r="10" spans="1:5" ht="17.100000000000001" customHeight="1" x14ac:dyDescent="0.25">
      <c r="A10" s="1"/>
      <c r="B10" s="53" t="s">
        <v>48</v>
      </c>
      <c r="C10" s="7">
        <f>'Fane 10.1. Varige tillæg'!C15</f>
        <v>327304.99199999997</v>
      </c>
      <c r="D10" s="8" t="s">
        <v>3</v>
      </c>
      <c r="E10" s="1"/>
    </row>
    <row r="11" spans="1:5" ht="17.100000000000001" customHeight="1" x14ac:dyDescent="0.25">
      <c r="A11" s="1"/>
      <c r="B11" s="53" t="s">
        <v>49</v>
      </c>
      <c r="C11" s="9">
        <f>'Fane 10.1. Varige tillæg'!E15</f>
        <v>2195012.3832</v>
      </c>
      <c r="D11" s="8" t="s">
        <v>3</v>
      </c>
      <c r="E11" s="1"/>
    </row>
    <row r="12" spans="1:5" ht="17.100000000000001" customHeight="1" x14ac:dyDescent="0.25">
      <c r="A12" s="1"/>
      <c r="B12" s="53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3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3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3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3" t="s">
        <v>20</v>
      </c>
      <c r="C16" s="9">
        <f>C9*'Fane 14. Nøgletal'!C12+SUM(C10:C15)*'Fane 14. Nøgletal'!C13</f>
        <v>1067355.8420400694</v>
      </c>
      <c r="D16" s="8" t="s">
        <v>3</v>
      </c>
      <c r="E16" s="1"/>
    </row>
    <row r="17" spans="1:5" ht="17.100000000000001" customHeight="1" x14ac:dyDescent="0.25">
      <c r="A17" s="1"/>
      <c r="B17" s="53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53" t="s">
        <v>29</v>
      </c>
      <c r="C18" s="9">
        <f>-'Fane 4.1. Gen. krav - drift'!G34</f>
        <v>-274093.92295208538</v>
      </c>
      <c r="D18" s="8" t="s">
        <v>3</v>
      </c>
      <c r="E18" s="1"/>
    </row>
    <row r="19" spans="1:5" ht="17.100000000000001" customHeight="1" x14ac:dyDescent="0.25">
      <c r="A19" s="1"/>
      <c r="B19" s="53" t="s">
        <v>30</v>
      </c>
      <c r="C19" s="9">
        <f>-'Fane 4.2. Gen. krav - anlæg'!G31</f>
        <v>-1218216.6354829376</v>
      </c>
      <c r="D19" s="8" t="s">
        <v>3</v>
      </c>
      <c r="E19" s="1"/>
    </row>
    <row r="20" spans="1:5" ht="17.100000000000001" customHeight="1" x14ac:dyDescent="0.25">
      <c r="A20" s="1"/>
      <c r="B20" s="54" t="s">
        <v>22</v>
      </c>
      <c r="C20" s="10">
        <f>SUM(C9:C19)</f>
        <v>54715817.991933435</v>
      </c>
      <c r="D20" s="11" t="s">
        <v>3</v>
      </c>
      <c r="E20" s="1"/>
    </row>
    <row r="21" spans="1:5" ht="15" customHeight="1" x14ac:dyDescent="0.25">
      <c r="A21" s="1"/>
      <c r="B21" s="41" t="s">
        <v>13</v>
      </c>
      <c r="C21" s="35"/>
      <c r="D21" s="23"/>
      <c r="E21" s="1"/>
    </row>
    <row r="22" spans="1:5" ht="15" customHeight="1" x14ac:dyDescent="0.25">
      <c r="A22" s="1"/>
      <c r="B22" s="39" t="s">
        <v>13</v>
      </c>
      <c r="C22" s="10">
        <f>'Fane 6. Ikke-påvirkelige omk.'!C15+'Fane 6. Ikke-påvirkelige omk.'!C19+'Fane 6. Ikke-påvirkelige omk.'!C27</f>
        <v>3116779.1807981599</v>
      </c>
      <c r="D22" s="11" t="s">
        <v>3</v>
      </c>
      <c r="E22" s="1"/>
    </row>
    <row r="23" spans="1:5" ht="15" customHeight="1" x14ac:dyDescent="0.25">
      <c r="A23" s="1"/>
      <c r="B23" s="41" t="s">
        <v>114</v>
      </c>
      <c r="C23" s="35"/>
      <c r="D23" s="23"/>
      <c r="E23" s="1"/>
    </row>
    <row r="24" spans="1:5" ht="15" customHeight="1" x14ac:dyDescent="0.25">
      <c r="A24" s="1"/>
      <c r="B24" s="54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1" t="s">
        <v>113</v>
      </c>
      <c r="C25" s="35"/>
      <c r="D25" s="23"/>
      <c r="E25" s="1"/>
    </row>
    <row r="26" spans="1:5" ht="15" customHeight="1" x14ac:dyDescent="0.25">
      <c r="A26" s="1"/>
      <c r="B26" s="53" t="s">
        <v>109</v>
      </c>
      <c r="C26" s="9">
        <f>'Fane 10.2. Engangstillæg'!C14</f>
        <v>1153442.5961447591</v>
      </c>
      <c r="D26" s="8" t="s">
        <v>3</v>
      </c>
      <c r="E26" s="1"/>
    </row>
    <row r="27" spans="1:5" ht="15" customHeight="1" x14ac:dyDescent="0.25">
      <c r="A27" s="1"/>
      <c r="B27" s="53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4" t="s">
        <v>115</v>
      </c>
      <c r="C28" s="10">
        <f>SUM(C26:C27)</f>
        <v>1153442.5961447591</v>
      </c>
      <c r="D28" s="11" t="s">
        <v>3</v>
      </c>
      <c r="E28" s="1"/>
    </row>
    <row r="29" spans="1:5" x14ac:dyDescent="0.25">
      <c r="A29" s="1"/>
      <c r="B29" s="41" t="s">
        <v>252</v>
      </c>
      <c r="C29" s="35"/>
      <c r="D29" s="23"/>
      <c r="E29" s="1"/>
    </row>
    <row r="30" spans="1:5" x14ac:dyDescent="0.25">
      <c r="A30" s="1"/>
      <c r="B30" s="39" t="s">
        <v>244</v>
      </c>
      <c r="C30" s="10">
        <f>'Fane 7. Kontrol af ØR2019'!E32</f>
        <v>-1331910.2326865308</v>
      </c>
      <c r="D30" s="11" t="s">
        <v>3</v>
      </c>
      <c r="E30" s="1"/>
    </row>
    <row r="31" spans="1:5" ht="15" customHeight="1" x14ac:dyDescent="0.25">
      <c r="A31" s="1"/>
      <c r="B31" s="41" t="s">
        <v>184</v>
      </c>
      <c r="C31" s="35"/>
      <c r="D31" s="23"/>
      <c r="E31" s="1"/>
    </row>
    <row r="32" spans="1:5" x14ac:dyDescent="0.25">
      <c r="A32" s="1"/>
      <c r="B32" s="39" t="s">
        <v>184</v>
      </c>
      <c r="C32" s="10">
        <f>'Fane 8. Korrektion af ØR2019'!E17</f>
        <v>-3085409</v>
      </c>
      <c r="D32" s="11" t="s">
        <v>3</v>
      </c>
      <c r="E32" s="1"/>
    </row>
    <row r="33" spans="1:5" x14ac:dyDescent="0.25">
      <c r="A33" s="1"/>
      <c r="B33" s="41" t="s">
        <v>35</v>
      </c>
      <c r="C33" s="37">
        <f>SUM(C32,C30,C28,C24,C22,C20)</f>
        <v>54568720.536189824</v>
      </c>
      <c r="D33" s="38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0" t="s">
        <v>188</v>
      </c>
      <c r="C3" s="80"/>
      <c r="D3" s="80"/>
      <c r="E3" s="1"/>
    </row>
    <row r="4" spans="1:5" ht="15" customHeight="1" x14ac:dyDescent="0.25">
      <c r="A4" s="1"/>
      <c r="B4" s="80"/>
      <c r="C4" s="80"/>
      <c r="D4" s="80"/>
      <c r="E4" s="1"/>
    </row>
    <row r="5" spans="1:5" x14ac:dyDescent="0.25">
      <c r="A5" s="1"/>
      <c r="B5" s="81" t="s">
        <v>23</v>
      </c>
      <c r="C5" s="81"/>
      <c r="D5" s="8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1" t="s">
        <v>14</v>
      </c>
      <c r="C8" s="35"/>
      <c r="D8" s="23"/>
      <c r="E8" s="1"/>
    </row>
    <row r="9" spans="1:5" ht="15" customHeight="1" x14ac:dyDescent="0.25">
      <c r="A9" s="1"/>
      <c r="B9" s="36" t="s">
        <v>28</v>
      </c>
      <c r="C9" s="7">
        <f>'Fane 2.1. Økonomisk ramme 2021'!C20</f>
        <v>54715817.991933435</v>
      </c>
      <c r="D9" s="8" t="s">
        <v>3</v>
      </c>
      <c r="E9" s="1"/>
    </row>
    <row r="10" spans="1:5" ht="15" customHeight="1" x14ac:dyDescent="0.25">
      <c r="A10" s="1"/>
      <c r="B10" s="53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3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3" t="s">
        <v>20</v>
      </c>
      <c r="C12" s="9">
        <f>SUM(C9:C11)*'Fane 14. Nøgletal'!C13</f>
        <v>667532.97950158792</v>
      </c>
      <c r="D12" s="8" t="s">
        <v>3</v>
      </c>
      <c r="E12" s="1"/>
    </row>
    <row r="13" spans="1:5" ht="15" customHeight="1" x14ac:dyDescent="0.25">
      <c r="A13" s="1"/>
      <c r="B13" s="33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3" t="s">
        <v>29</v>
      </c>
      <c r="C14" s="9">
        <f>-'Fane 4.1. Gen. krav - drift'!G40</f>
        <v>-271889.11143585882</v>
      </c>
      <c r="D14" s="8" t="s">
        <v>3</v>
      </c>
      <c r="E14" s="1"/>
    </row>
    <row r="15" spans="1:5" ht="15" customHeight="1" x14ac:dyDescent="0.25">
      <c r="A15" s="1"/>
      <c r="B15" s="33" t="s">
        <v>30</v>
      </c>
      <c r="C15" s="9">
        <f>-'Fane 4.2. Gen. krav - anlæg'!G37</f>
        <v>-1162052.6325124651</v>
      </c>
      <c r="D15" s="8" t="s">
        <v>3</v>
      </c>
      <c r="E15" s="1"/>
    </row>
    <row r="16" spans="1:5" ht="15" customHeight="1" x14ac:dyDescent="0.25">
      <c r="A16" s="1"/>
      <c r="B16" s="34" t="s">
        <v>22</v>
      </c>
      <c r="C16" s="10">
        <f>SUM(C9:C15)</f>
        <v>53949409.2274867</v>
      </c>
      <c r="D16" s="11" t="s">
        <v>3</v>
      </c>
      <c r="E16" s="1"/>
    </row>
    <row r="17" spans="1:5" x14ac:dyDescent="0.25">
      <c r="A17" s="1"/>
      <c r="B17" s="41" t="s">
        <v>13</v>
      </c>
      <c r="C17" s="35"/>
      <c r="D17" s="23"/>
      <c r="E17" s="1"/>
    </row>
    <row r="18" spans="1:5" ht="15" customHeight="1" x14ac:dyDescent="0.25">
      <c r="A18" s="1"/>
      <c r="B18" s="39" t="s">
        <v>13</v>
      </c>
      <c r="C18" s="10">
        <f>'Fane 6. Ikke-påvirkelige omk.'!C15*(1+'Fane 14. Nøgletal'!C13)+'Fane 6. Ikke-påvirkelige omk.'!C20+'Fane 6. Ikke-påvirkelige omk.'!C28</f>
        <v>3127187.1860038973</v>
      </c>
      <c r="D18" s="11" t="s">
        <v>3</v>
      </c>
      <c r="E18" s="1"/>
    </row>
    <row r="19" spans="1:5" ht="15" customHeight="1" x14ac:dyDescent="0.25">
      <c r="A19" s="1"/>
      <c r="B19" s="41" t="s">
        <v>114</v>
      </c>
      <c r="C19" s="35"/>
      <c r="D19" s="23"/>
      <c r="E19" s="1"/>
    </row>
    <row r="20" spans="1:5" ht="15" customHeight="1" x14ac:dyDescent="0.25">
      <c r="A20" s="1"/>
      <c r="B20" s="54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1" t="s">
        <v>113</v>
      </c>
      <c r="C21" s="35"/>
      <c r="D21" s="23"/>
      <c r="E21" s="1"/>
    </row>
    <row r="22" spans="1:5" ht="15" customHeight="1" x14ac:dyDescent="0.25">
      <c r="A22" s="1"/>
      <c r="B22" s="53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3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4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1" t="s">
        <v>252</v>
      </c>
      <c r="C25" s="35"/>
      <c r="D25" s="23"/>
      <c r="E25" s="1"/>
    </row>
    <row r="26" spans="1:5" ht="15" customHeight="1" x14ac:dyDescent="0.25">
      <c r="A26" s="1"/>
      <c r="B26" s="39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41" t="s">
        <v>36</v>
      </c>
      <c r="C27" s="12">
        <f>SUM(C16,C18,C20,C24,C26)</f>
        <v>57076596.413490593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0" t="s">
        <v>189</v>
      </c>
      <c r="C3" s="80"/>
      <c r="D3" s="80"/>
      <c r="E3" s="1"/>
    </row>
    <row r="4" spans="1:5" ht="15" customHeight="1" x14ac:dyDescent="0.25">
      <c r="A4" s="1"/>
      <c r="B4" s="80"/>
      <c r="C4" s="80"/>
      <c r="D4" s="80"/>
      <c r="E4" s="1"/>
    </row>
    <row r="5" spans="1:5" x14ac:dyDescent="0.25">
      <c r="A5" s="1"/>
      <c r="B5" s="81" t="s">
        <v>23</v>
      </c>
      <c r="C5" s="81"/>
      <c r="D5" s="81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1" t="s">
        <v>14</v>
      </c>
      <c r="C8" s="35"/>
      <c r="D8" s="23"/>
      <c r="E8" s="1"/>
    </row>
    <row r="9" spans="1:5" ht="15" customHeight="1" x14ac:dyDescent="0.25">
      <c r="A9" s="1"/>
      <c r="B9" s="36" t="s">
        <v>190</v>
      </c>
      <c r="C9" s="7">
        <f>'Fane 2.2. Økonomisk ramme 2022'!C16</f>
        <v>53949409.2274867</v>
      </c>
      <c r="D9" s="8" t="s">
        <v>3</v>
      </c>
      <c r="E9" s="1"/>
    </row>
    <row r="10" spans="1:5" ht="15" customHeight="1" x14ac:dyDescent="0.25">
      <c r="A10" s="1"/>
      <c r="B10" s="36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6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3" t="s">
        <v>20</v>
      </c>
      <c r="C12" s="9">
        <f>SUM(C9:C11)*'Fane 14. Nøgletal'!C13</f>
        <v>658182.79257533781</v>
      </c>
      <c r="D12" s="8" t="s">
        <v>3</v>
      </c>
      <c r="E12" s="1"/>
    </row>
    <row r="13" spans="1:5" ht="15" customHeight="1" x14ac:dyDescent="0.25">
      <c r="A13" s="1"/>
      <c r="B13" s="33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3" t="s">
        <v>29</v>
      </c>
      <c r="C14" s="9">
        <f>-'Fane 4.1. Gen. krav - drift'!G46</f>
        <v>-269702.0354234688</v>
      </c>
      <c r="D14" s="8" t="s">
        <v>3</v>
      </c>
      <c r="E14" s="1"/>
    </row>
    <row r="15" spans="1:5" ht="15" customHeight="1" x14ac:dyDescent="0.25">
      <c r="A15" s="1"/>
      <c r="B15" s="33" t="s">
        <v>30</v>
      </c>
      <c r="C15" s="9">
        <f>-'Fane 4.2. Gen. krav - anlæg'!G43</f>
        <v>-1143883.3585768163</v>
      </c>
      <c r="D15" s="8" t="s">
        <v>3</v>
      </c>
      <c r="E15" s="1"/>
    </row>
    <row r="16" spans="1:5" x14ac:dyDescent="0.25">
      <c r="A16" s="1"/>
      <c r="B16" s="34" t="s">
        <v>22</v>
      </c>
      <c r="C16" s="10">
        <f>SUM(C9:C15)</f>
        <v>53194006.626061752</v>
      </c>
      <c r="D16" s="11" t="s">
        <v>3</v>
      </c>
      <c r="E16" s="1"/>
    </row>
    <row r="17" spans="1:5" x14ac:dyDescent="0.25">
      <c r="A17" s="1"/>
      <c r="B17" s="41" t="s">
        <v>13</v>
      </c>
      <c r="C17" s="35"/>
      <c r="D17" s="23"/>
      <c r="E17" s="1"/>
    </row>
    <row r="18" spans="1:5" ht="15" customHeight="1" x14ac:dyDescent="0.25">
      <c r="A18" s="1"/>
      <c r="B18" s="39" t="s">
        <v>13</v>
      </c>
      <c r="C18" s="10">
        <f>'Fane 6. Ikke-påvirkelige omk.'!C15*(1+'Fane 14. Nøgletal'!C13)^2+'Fane 6. Ikke-påvirkelige omk.'!C21+'Fane 6. Ikke-påvirkelige omk.'!C29</f>
        <v>3137722.1688731452</v>
      </c>
      <c r="D18" s="11" t="s">
        <v>3</v>
      </c>
      <c r="E18" s="1"/>
    </row>
    <row r="19" spans="1:5" ht="15" customHeight="1" x14ac:dyDescent="0.25">
      <c r="A19" s="1"/>
      <c r="B19" s="41" t="s">
        <v>114</v>
      </c>
      <c r="C19" s="35"/>
      <c r="D19" s="23"/>
      <c r="E19" s="1"/>
    </row>
    <row r="20" spans="1:5" ht="15" customHeight="1" x14ac:dyDescent="0.25">
      <c r="A20" s="1"/>
      <c r="B20" s="54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1" t="s">
        <v>113</v>
      </c>
      <c r="C21" s="35"/>
      <c r="D21" s="23"/>
      <c r="E21" s="1"/>
    </row>
    <row r="22" spans="1:5" ht="15" customHeight="1" x14ac:dyDescent="0.25">
      <c r="A22" s="1"/>
      <c r="B22" s="53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3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4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1" t="s">
        <v>252</v>
      </c>
      <c r="C25" s="35"/>
      <c r="D25" s="23"/>
      <c r="E25" s="1"/>
    </row>
    <row r="26" spans="1:5" x14ac:dyDescent="0.25">
      <c r="A26" s="1"/>
      <c r="B26" s="39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41" t="s">
        <v>124</v>
      </c>
      <c r="C27" s="12">
        <f>SUM(C16,C18,C20,C24,C26)</f>
        <v>56331728.794934899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0" t="s">
        <v>191</v>
      </c>
      <c r="C3" s="80"/>
      <c r="D3" s="80"/>
      <c r="E3" s="1"/>
    </row>
    <row r="4" spans="1:5" ht="15" customHeight="1" x14ac:dyDescent="0.25">
      <c r="A4" s="1"/>
      <c r="B4" s="80"/>
      <c r="C4" s="80"/>
      <c r="D4" s="80"/>
      <c r="E4" s="1"/>
    </row>
    <row r="5" spans="1:5" x14ac:dyDescent="0.25">
      <c r="A5" s="1"/>
      <c r="B5" s="81" t="s">
        <v>23</v>
      </c>
      <c r="C5" s="81"/>
      <c r="D5" s="81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1" t="s">
        <v>14</v>
      </c>
      <c r="C8" s="35"/>
      <c r="D8" s="23"/>
      <c r="E8" s="1"/>
    </row>
    <row r="9" spans="1:5" ht="15" customHeight="1" x14ac:dyDescent="0.25">
      <c r="A9" s="1"/>
      <c r="B9" s="36" t="s">
        <v>192</v>
      </c>
      <c r="C9" s="7">
        <f>'Fane 2.3. Økonomisk ramme 2023'!C16</f>
        <v>53194006.626061752</v>
      </c>
      <c r="D9" s="8" t="s">
        <v>3</v>
      </c>
      <c r="E9" s="1"/>
    </row>
    <row r="10" spans="1:5" ht="15" customHeight="1" x14ac:dyDescent="0.25">
      <c r="A10" s="1"/>
      <c r="B10" s="36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6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3" t="s">
        <v>20</v>
      </c>
      <c r="C12" s="9">
        <f>SUM(C9:C11)*'Fane 14. Nøgletal'!C13</f>
        <v>648966.88083795342</v>
      </c>
      <c r="D12" s="8" t="s">
        <v>3</v>
      </c>
      <c r="E12" s="1"/>
    </row>
    <row r="13" spans="1:5" ht="15" customHeight="1" x14ac:dyDescent="0.25">
      <c r="A13" s="1"/>
      <c r="B13" s="33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3" t="s">
        <v>29</v>
      </c>
      <c r="C14" s="9">
        <f>-'Fane 4.1. Gen. krav - drift'!G54</f>
        <v>-267532.55225052242</v>
      </c>
      <c r="D14" s="8" t="s">
        <v>3</v>
      </c>
      <c r="E14" s="1"/>
    </row>
    <row r="15" spans="1:5" ht="15" customHeight="1" x14ac:dyDescent="0.25">
      <c r="A15" s="1"/>
      <c r="B15" s="33" t="s">
        <v>30</v>
      </c>
      <c r="C15" s="9">
        <f>-'Fane 4.2. Gen. krav - anlæg'!G49</f>
        <v>-1125998.1703237884</v>
      </c>
      <c r="D15" s="8" t="s">
        <v>3</v>
      </c>
      <c r="E15" s="1"/>
    </row>
    <row r="16" spans="1:5" x14ac:dyDescent="0.25">
      <c r="A16" s="1"/>
      <c r="B16" s="34" t="s">
        <v>22</v>
      </c>
      <c r="C16" s="10">
        <f>SUM(C9:C15)</f>
        <v>52449442.784325399</v>
      </c>
      <c r="D16" s="11" t="s">
        <v>3</v>
      </c>
      <c r="E16" s="1"/>
    </row>
    <row r="17" spans="1:5" x14ac:dyDescent="0.25">
      <c r="A17" s="1"/>
      <c r="B17" s="41" t="s">
        <v>13</v>
      </c>
      <c r="C17" s="35"/>
      <c r="D17" s="23"/>
      <c r="E17" s="1"/>
    </row>
    <row r="18" spans="1:5" ht="15" customHeight="1" x14ac:dyDescent="0.25">
      <c r="A18" s="1"/>
      <c r="B18" s="39" t="s">
        <v>13</v>
      </c>
      <c r="C18" s="10">
        <f>'Fane 6. Ikke-påvirkelige omk.'!C15*(1+'Fane 14. Nøgletal'!C13)^3+'Fane 6. Ikke-påvirkelige omk.'!C22+'Fane 6. Ikke-påvirkelige omk.'!C30</f>
        <v>3148385.6785333976</v>
      </c>
      <c r="D18" s="11" t="s">
        <v>3</v>
      </c>
      <c r="E18" s="1"/>
    </row>
    <row r="19" spans="1:5" ht="15" customHeight="1" x14ac:dyDescent="0.25">
      <c r="A19" s="1"/>
      <c r="B19" s="41" t="s">
        <v>114</v>
      </c>
      <c r="C19" s="35"/>
      <c r="D19" s="23"/>
      <c r="E19" s="1"/>
    </row>
    <row r="20" spans="1:5" ht="15" customHeight="1" x14ac:dyDescent="0.25">
      <c r="A20" s="1"/>
      <c r="B20" s="54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1" t="s">
        <v>113</v>
      </c>
      <c r="C21" s="35"/>
      <c r="D21" s="23"/>
      <c r="E21" s="1"/>
    </row>
    <row r="22" spans="1:5" ht="15" customHeight="1" x14ac:dyDescent="0.25">
      <c r="A22" s="1"/>
      <c r="B22" s="53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3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4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1" t="s">
        <v>193</v>
      </c>
      <c r="C25" s="12">
        <f>SUM(C16,C18,C20,C24)</f>
        <v>55597828.462858796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4" t="s">
        <v>194</v>
      </c>
      <c r="C3" s="94"/>
      <c r="D3" s="94"/>
      <c r="E3" s="94"/>
      <c r="F3" s="94"/>
      <c r="G3" s="1"/>
    </row>
    <row r="4" spans="1:7" ht="29.25" customHeight="1" x14ac:dyDescent="0.25">
      <c r="A4" s="1"/>
      <c r="B4" s="94"/>
      <c r="C4" s="94"/>
      <c r="D4" s="94"/>
      <c r="E4" s="94"/>
      <c r="F4" s="9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195</v>
      </c>
      <c r="C8" s="35"/>
      <c r="D8" s="35"/>
      <c r="E8" s="35"/>
      <c r="F8" s="23"/>
      <c r="G8" s="1"/>
    </row>
    <row r="9" spans="1:7" ht="15" customHeight="1" x14ac:dyDescent="0.25">
      <c r="A9" s="1"/>
      <c r="B9" s="82" t="s">
        <v>25</v>
      </c>
      <c r="C9" s="83"/>
      <c r="D9" s="84"/>
      <c r="E9" s="7">
        <v>49315826.410990097</v>
      </c>
      <c r="F9" s="8" t="s">
        <v>3</v>
      </c>
      <c r="G9" s="1"/>
    </row>
    <row r="10" spans="1:7" ht="15" customHeight="1" x14ac:dyDescent="0.25">
      <c r="A10" s="1"/>
      <c r="B10" s="85" t="s">
        <v>48</v>
      </c>
      <c r="C10" s="86"/>
      <c r="D10" s="87"/>
      <c r="E10" s="7">
        <v>1130769.8027999999</v>
      </c>
      <c r="F10" s="8" t="s">
        <v>3</v>
      </c>
      <c r="G10" s="1"/>
    </row>
    <row r="11" spans="1:7" ht="15" customHeight="1" x14ac:dyDescent="0.25">
      <c r="A11" s="1"/>
      <c r="B11" s="85" t="s">
        <v>49</v>
      </c>
      <c r="C11" s="86"/>
      <c r="D11" s="87"/>
      <c r="E11" s="9">
        <v>2563152.5898000002</v>
      </c>
      <c r="F11" s="8" t="s">
        <v>3</v>
      </c>
      <c r="G11" s="1"/>
    </row>
    <row r="12" spans="1:7" ht="15" customHeight="1" x14ac:dyDescent="0.25">
      <c r="A12" s="1"/>
      <c r="B12" s="85" t="s">
        <v>32</v>
      </c>
      <c r="C12" s="86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82" t="s">
        <v>31</v>
      </c>
      <c r="C13" s="83"/>
      <c r="D13" s="84"/>
      <c r="E13" s="9">
        <v>0</v>
      </c>
      <c r="F13" s="8" t="s">
        <v>3</v>
      </c>
      <c r="G13" s="1"/>
    </row>
    <row r="14" spans="1:7" ht="15" customHeight="1" x14ac:dyDescent="0.25">
      <c r="A14" s="1"/>
      <c r="B14" s="82" t="s">
        <v>34</v>
      </c>
      <c r="C14" s="83"/>
      <c r="D14" s="84"/>
      <c r="E14" s="9">
        <v>0</v>
      </c>
      <c r="F14" s="8" t="s">
        <v>3</v>
      </c>
      <c r="G14" s="1"/>
    </row>
    <row r="15" spans="1:7" ht="15" customHeight="1" x14ac:dyDescent="0.25">
      <c r="A15" s="1"/>
      <c r="B15" s="82" t="s">
        <v>33</v>
      </c>
      <c r="C15" s="83"/>
      <c r="D15" s="84"/>
      <c r="E15" s="9">
        <v>0</v>
      </c>
      <c r="F15" s="8" t="s">
        <v>3</v>
      </c>
      <c r="G15" s="1"/>
    </row>
    <row r="16" spans="1:7" ht="15" customHeight="1" x14ac:dyDescent="0.25">
      <c r="A16" s="1"/>
      <c r="B16" s="82" t="s">
        <v>20</v>
      </c>
      <c r="C16" s="83"/>
      <c r="D16" s="84"/>
      <c r="E16" s="9">
        <f>SUM(E9:E15)*'Fane 14. Nøgletal'!C12</f>
        <v>1044292.0514307248</v>
      </c>
      <c r="F16" s="8" t="s">
        <v>3</v>
      </c>
      <c r="G16" s="1"/>
    </row>
    <row r="17" spans="1:7" ht="15" customHeight="1" x14ac:dyDescent="0.25">
      <c r="A17" s="1"/>
      <c r="B17" s="82" t="s">
        <v>10</v>
      </c>
      <c r="C17" s="83"/>
      <c r="D17" s="84"/>
      <c r="E17" s="9">
        <f>-SUM(E9:E16)*'Fane 5. Individuelt eff. krav'!G11</f>
        <v>0</v>
      </c>
      <c r="F17" s="8" t="s">
        <v>3</v>
      </c>
      <c r="G17" s="1"/>
    </row>
    <row r="18" spans="1:7" ht="15" customHeight="1" x14ac:dyDescent="0.25">
      <c r="A18" s="1"/>
      <c r="B18" s="82" t="s">
        <v>29</v>
      </c>
      <c r="C18" s="83"/>
      <c r="D18" s="84"/>
      <c r="E18" s="9">
        <f>-'Fane 4.1. Gen. krav - drift'!G28</f>
        <v>-267653.71237042244</v>
      </c>
      <c r="F18" s="8" t="s">
        <v>3</v>
      </c>
      <c r="G18" s="1"/>
    </row>
    <row r="19" spans="1:7" ht="15" customHeight="1" x14ac:dyDescent="0.25">
      <c r="A19" s="1"/>
      <c r="B19" s="82" t="s">
        <v>30</v>
      </c>
      <c r="C19" s="83"/>
      <c r="D19" s="84"/>
      <c r="E19" s="9">
        <f>-'Fane 4.2. Gen. krav - anlæg'!G25</f>
        <v>-1167931.8095220067</v>
      </c>
      <c r="F19" s="8" t="s">
        <v>3</v>
      </c>
      <c r="G19" s="1"/>
    </row>
    <row r="20" spans="1:7" ht="15" customHeight="1" x14ac:dyDescent="0.25">
      <c r="A20" s="1"/>
      <c r="B20" s="54" t="s">
        <v>22</v>
      </c>
      <c r="C20" s="55"/>
      <c r="D20" s="60"/>
      <c r="E20" s="10">
        <f>SUM(E9:E19)</f>
        <v>52618455.333128393</v>
      </c>
      <c r="F20" s="11" t="s">
        <v>3</v>
      </c>
      <c r="G20" s="1"/>
    </row>
    <row r="21" spans="1:7" ht="15" customHeight="1" x14ac:dyDescent="0.25">
      <c r="A21" s="1"/>
      <c r="B21" s="41" t="s">
        <v>13</v>
      </c>
      <c r="C21" s="35"/>
      <c r="D21" s="35"/>
      <c r="E21" s="35"/>
      <c r="F21" s="23"/>
      <c r="G21" s="1"/>
    </row>
    <row r="22" spans="1:7" ht="15" customHeight="1" x14ac:dyDescent="0.25">
      <c r="A22" s="1"/>
      <c r="B22" s="88" t="s">
        <v>13</v>
      </c>
      <c r="C22" s="89"/>
      <c r="D22" s="90"/>
      <c r="E22" s="10">
        <v>3210181.0187508203</v>
      </c>
      <c r="F22" s="11" t="s">
        <v>3</v>
      </c>
      <c r="G22" s="1"/>
    </row>
    <row r="23" spans="1:7" ht="15" customHeight="1" x14ac:dyDescent="0.25">
      <c r="A23" s="1"/>
      <c r="B23" s="91" t="s">
        <v>114</v>
      </c>
      <c r="C23" s="92"/>
      <c r="D23" s="93"/>
      <c r="E23" s="35"/>
      <c r="F23" s="35"/>
      <c r="G23" s="1"/>
    </row>
    <row r="24" spans="1:7" ht="15" customHeight="1" x14ac:dyDescent="0.25">
      <c r="A24" s="1"/>
      <c r="B24" s="54" t="s">
        <v>114</v>
      </c>
      <c r="C24" s="49"/>
      <c r="D24" s="50"/>
      <c r="E24" s="10">
        <v>0</v>
      </c>
      <c r="F24" s="11" t="s">
        <v>3</v>
      </c>
      <c r="G24" s="1"/>
    </row>
    <row r="25" spans="1:7" x14ac:dyDescent="0.25">
      <c r="A25" s="1"/>
      <c r="B25" s="41" t="s">
        <v>113</v>
      </c>
      <c r="C25" s="35"/>
      <c r="D25" s="35"/>
      <c r="E25" s="35"/>
      <c r="F25" s="23"/>
      <c r="G25" s="1"/>
    </row>
    <row r="26" spans="1:7" ht="15" customHeight="1" x14ac:dyDescent="0.25">
      <c r="A26" s="1"/>
      <c r="B26" s="85" t="s">
        <v>109</v>
      </c>
      <c r="C26" s="86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5" t="s">
        <v>110</v>
      </c>
      <c r="C27" s="86"/>
      <c r="D27" s="86"/>
      <c r="E27" s="9">
        <v>0</v>
      </c>
      <c r="F27" s="8" t="s">
        <v>3</v>
      </c>
      <c r="G27" s="1"/>
    </row>
    <row r="28" spans="1:7" ht="15" customHeight="1" x14ac:dyDescent="0.25">
      <c r="A28" s="1"/>
      <c r="B28" s="95" t="s">
        <v>115</v>
      </c>
      <c r="C28" s="96"/>
      <c r="D28" s="96"/>
      <c r="E28" s="51">
        <v>0</v>
      </c>
      <c r="F28" s="11" t="s">
        <v>3</v>
      </c>
      <c r="G28" s="1"/>
    </row>
    <row r="29" spans="1:7" ht="15" customHeight="1" x14ac:dyDescent="0.25">
      <c r="A29" s="1"/>
      <c r="B29" s="41" t="s">
        <v>259</v>
      </c>
      <c r="C29" s="41"/>
      <c r="D29" s="41"/>
      <c r="E29" s="35"/>
      <c r="F29" s="35"/>
      <c r="G29" s="1"/>
    </row>
    <row r="30" spans="1:7" ht="15" customHeight="1" x14ac:dyDescent="0.25">
      <c r="A30" s="1"/>
      <c r="B30" s="88" t="s">
        <v>260</v>
      </c>
      <c r="C30" s="89"/>
      <c r="D30" s="89"/>
      <c r="E30" s="51">
        <v>-2527917</v>
      </c>
      <c r="F30" s="11" t="s">
        <v>3</v>
      </c>
      <c r="G30" s="1"/>
    </row>
    <row r="31" spans="1:7" ht="15" customHeight="1" x14ac:dyDescent="0.25">
      <c r="A31" s="1"/>
      <c r="B31" s="41" t="s">
        <v>261</v>
      </c>
      <c r="C31" s="41"/>
      <c r="D31" s="41"/>
      <c r="E31" s="35"/>
      <c r="F31" s="35"/>
      <c r="G31" s="1"/>
    </row>
    <row r="32" spans="1:7" ht="15" customHeight="1" x14ac:dyDescent="0.25">
      <c r="A32" s="1"/>
      <c r="B32" s="88" t="s">
        <v>262</v>
      </c>
      <c r="C32" s="89"/>
      <c r="D32" s="89"/>
      <c r="E32" s="51">
        <v>-1331910.2326865308</v>
      </c>
      <c r="F32" s="11" t="s">
        <v>3</v>
      </c>
      <c r="G32" s="1"/>
    </row>
    <row r="33" spans="1:7" x14ac:dyDescent="0.25">
      <c r="A33" s="1"/>
      <c r="B33" s="41" t="s">
        <v>263</v>
      </c>
      <c r="C33" s="35"/>
      <c r="D33" s="35"/>
      <c r="E33" s="35"/>
      <c r="F33" s="35"/>
      <c r="G33" s="1"/>
    </row>
    <row r="34" spans="1:7" ht="15.4" customHeight="1" x14ac:dyDescent="0.25">
      <c r="A34" s="1"/>
      <c r="B34" s="88" t="s">
        <v>264</v>
      </c>
      <c r="C34" s="89"/>
      <c r="D34" s="90"/>
      <c r="E34" s="10">
        <v>324665.26447233604</v>
      </c>
      <c r="F34" s="11" t="s">
        <v>3</v>
      </c>
      <c r="G34" s="1"/>
    </row>
    <row r="35" spans="1:7" x14ac:dyDescent="0.25">
      <c r="A35" s="1"/>
      <c r="B35" s="41" t="s">
        <v>26</v>
      </c>
      <c r="C35" s="35"/>
      <c r="D35" s="23"/>
      <c r="E35" s="12">
        <f>E20+E22+E24+E28+E30+E32+E34</f>
        <v>52293474.38366501</v>
      </c>
      <c r="F35" s="13" t="s">
        <v>3</v>
      </c>
      <c r="G35" s="1"/>
    </row>
    <row r="36" spans="1:7" ht="27" customHeight="1" x14ac:dyDescent="0.25">
      <c r="A36" s="1"/>
      <c r="B36" s="82" t="s">
        <v>218</v>
      </c>
      <c r="C36" s="83"/>
      <c r="D36" s="83"/>
      <c r="E36" s="83"/>
      <c r="F36" s="84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8"/>
      <c r="C1" s="48"/>
      <c r="D1" s="48"/>
      <c r="E1" s="48"/>
      <c r="F1" s="48"/>
      <c r="G1" s="48"/>
      <c r="H1" s="48"/>
      <c r="I1" s="1"/>
    </row>
    <row r="2" spans="1:9" ht="15" customHeight="1" x14ac:dyDescent="0.25">
      <c r="A2" s="1"/>
      <c r="B2" s="94" t="s">
        <v>163</v>
      </c>
      <c r="C2" s="94"/>
      <c r="D2" s="94"/>
      <c r="E2" s="94"/>
      <c r="F2" s="94"/>
      <c r="G2" s="94"/>
      <c r="H2" s="94"/>
      <c r="I2" s="1"/>
    </row>
    <row r="3" spans="1:9" ht="28.5" customHeight="1" x14ac:dyDescent="0.25">
      <c r="A3" s="1"/>
      <c r="B3" s="94"/>
      <c r="C3" s="94"/>
      <c r="D3" s="94"/>
      <c r="E3" s="94"/>
      <c r="F3" s="94"/>
      <c r="G3" s="94"/>
      <c r="H3" s="94"/>
      <c r="I3" s="1"/>
    </row>
    <row r="4" spans="1:9" ht="14.25" customHeight="1" x14ac:dyDescent="0.25">
      <c r="A4" s="1"/>
      <c r="B4" s="48"/>
      <c r="C4" s="48"/>
      <c r="D4" s="48"/>
      <c r="E4" s="48"/>
      <c r="F4" s="48"/>
      <c r="G4" s="48"/>
      <c r="H4" s="48"/>
      <c r="I4" s="1"/>
    </row>
    <row r="5" spans="1:9" x14ac:dyDescent="0.25">
      <c r="A5" s="1"/>
      <c r="B5" s="91" t="s">
        <v>67</v>
      </c>
      <c r="C5" s="92"/>
      <c r="D5" s="92"/>
      <c r="E5" s="92"/>
      <c r="F5" s="92"/>
      <c r="G5" s="92"/>
      <c r="H5" s="93"/>
      <c r="I5" s="1"/>
    </row>
    <row r="6" spans="1:9" x14ac:dyDescent="0.25">
      <c r="A6" s="1"/>
      <c r="B6" s="97" t="s">
        <v>56</v>
      </c>
      <c r="C6" s="98"/>
      <c r="D6" s="98"/>
      <c r="E6" s="98"/>
      <c r="F6" s="99"/>
      <c r="G6" s="27">
        <v>12359661.649977509</v>
      </c>
      <c r="H6" s="14" t="s">
        <v>3</v>
      </c>
      <c r="I6" s="1"/>
    </row>
    <row r="7" spans="1:9" x14ac:dyDescent="0.25">
      <c r="A7" s="1"/>
      <c r="B7" s="82" t="s">
        <v>181</v>
      </c>
      <c r="C7" s="83"/>
      <c r="D7" s="83"/>
      <c r="E7" s="83"/>
      <c r="F7" s="84"/>
      <c r="G7" s="27">
        <v>0</v>
      </c>
      <c r="H7" s="14" t="s">
        <v>3</v>
      </c>
      <c r="I7" s="1"/>
    </row>
    <row r="8" spans="1:9" x14ac:dyDescent="0.25">
      <c r="A8" s="1"/>
      <c r="B8" s="97" t="s">
        <v>57</v>
      </c>
      <c r="C8" s="98"/>
      <c r="D8" s="98"/>
      <c r="E8" s="98"/>
      <c r="F8" s="99"/>
      <c r="G8" s="27">
        <f>SUM(G6:G7)*'Fane 14. Nøgletal'!C27</f>
        <v>247193.23299955018</v>
      </c>
      <c r="H8" s="14" t="s">
        <v>3</v>
      </c>
      <c r="I8" s="1"/>
    </row>
    <row r="9" spans="1:9" x14ac:dyDescent="0.25">
      <c r="A9" s="1"/>
      <c r="B9" s="41"/>
      <c r="C9" s="35"/>
      <c r="D9" s="35"/>
      <c r="E9" s="35"/>
      <c r="F9" s="35"/>
      <c r="G9" s="35"/>
      <c r="H9" s="23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1" t="s">
        <v>68</v>
      </c>
      <c r="C11" s="92"/>
      <c r="D11" s="92"/>
      <c r="E11" s="92"/>
      <c r="F11" s="92"/>
      <c r="G11" s="92"/>
      <c r="H11" s="93"/>
      <c r="I11" s="1"/>
    </row>
    <row r="12" spans="1:9" x14ac:dyDescent="0.25">
      <c r="A12" s="1"/>
      <c r="B12" s="97" t="s">
        <v>58</v>
      </c>
      <c r="C12" s="98"/>
      <c r="D12" s="98"/>
      <c r="E12" s="98"/>
      <c r="F12" s="99"/>
      <c r="G12" s="27">
        <f>(G6-G8)*(1+'Fane 14. Nøgletal'!C10)</f>
        <v>12324436.614275074</v>
      </c>
      <c r="H12" s="14" t="s">
        <v>3</v>
      </c>
      <c r="I12" s="1"/>
    </row>
    <row r="13" spans="1:9" ht="15" customHeight="1" x14ac:dyDescent="0.25">
      <c r="A13" s="1"/>
      <c r="B13" s="97" t="s">
        <v>182</v>
      </c>
      <c r="C13" s="98"/>
      <c r="D13" s="98"/>
      <c r="E13" s="98"/>
      <c r="F13" s="99"/>
      <c r="G13" s="27">
        <v>-51325.332272499349</v>
      </c>
      <c r="H13" s="14" t="s">
        <v>3</v>
      </c>
      <c r="I13" s="1"/>
    </row>
    <row r="14" spans="1:9" x14ac:dyDescent="0.25">
      <c r="A14" s="1"/>
      <c r="B14" s="82" t="s">
        <v>179</v>
      </c>
      <c r="C14" s="83"/>
      <c r="D14" s="83"/>
      <c r="E14" s="83"/>
      <c r="F14" s="84"/>
      <c r="G14" s="27">
        <v>0</v>
      </c>
      <c r="H14" s="14" t="s">
        <v>3</v>
      </c>
      <c r="I14" s="1"/>
    </row>
    <row r="15" spans="1:9" x14ac:dyDescent="0.25">
      <c r="A15" s="1"/>
      <c r="B15" s="100" t="s">
        <v>59</v>
      </c>
      <c r="C15" s="101"/>
      <c r="D15" s="101"/>
      <c r="E15" s="101"/>
      <c r="F15" s="102"/>
      <c r="G15" s="27">
        <v>0</v>
      </c>
      <c r="H15" s="14" t="s">
        <v>3</v>
      </c>
      <c r="I15" s="1"/>
    </row>
    <row r="16" spans="1:9" x14ac:dyDescent="0.25">
      <c r="A16" s="1"/>
      <c r="B16" s="97" t="s">
        <v>60</v>
      </c>
      <c r="C16" s="98"/>
      <c r="D16" s="98"/>
      <c r="E16" s="98"/>
      <c r="F16" s="99"/>
      <c r="G16" s="27">
        <f>SUM(G12:G15)*'Fane 14. Nøgletal'!C27</f>
        <v>245462.22564005147</v>
      </c>
      <c r="H16" s="14" t="s">
        <v>3</v>
      </c>
      <c r="I16" s="1"/>
    </row>
    <row r="17" spans="1:9" x14ac:dyDescent="0.25">
      <c r="A17" s="1"/>
      <c r="B17" s="41"/>
      <c r="C17" s="35"/>
      <c r="D17" s="35"/>
      <c r="E17" s="35"/>
      <c r="F17" s="35"/>
      <c r="G17" s="35"/>
      <c r="H17" s="23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1" t="s">
        <v>69</v>
      </c>
      <c r="C19" s="92"/>
      <c r="D19" s="92"/>
      <c r="E19" s="92"/>
      <c r="F19" s="92"/>
      <c r="G19" s="92"/>
      <c r="H19" s="93"/>
      <c r="I19" s="1"/>
    </row>
    <row r="20" spans="1:9" x14ac:dyDescent="0.25">
      <c r="A20" s="1"/>
      <c r="B20" s="97" t="s">
        <v>61</v>
      </c>
      <c r="C20" s="98"/>
      <c r="D20" s="98"/>
      <c r="E20" s="98"/>
      <c r="F20" s="99"/>
      <c r="G20" s="27">
        <f>(SUM(G12:G13,G15)-(G16))*(1+'Fane 14. Nøgletal'!C10)</f>
        <v>12238132.914848868</v>
      </c>
      <c r="H20" s="14" t="s">
        <v>3</v>
      </c>
      <c r="I20" s="1"/>
    </row>
    <row r="21" spans="1:9" x14ac:dyDescent="0.25">
      <c r="A21" s="1"/>
      <c r="B21" s="100" t="s">
        <v>62</v>
      </c>
      <c r="C21" s="101"/>
      <c r="D21" s="101"/>
      <c r="E21" s="101"/>
      <c r="F21" s="102"/>
      <c r="G21" s="27">
        <v>0</v>
      </c>
      <c r="H21" s="14" t="s">
        <v>3</v>
      </c>
      <c r="I21" s="1"/>
    </row>
    <row r="22" spans="1:9" x14ac:dyDescent="0.25">
      <c r="A22" s="1"/>
      <c r="B22" s="97" t="s">
        <v>63</v>
      </c>
      <c r="C22" s="98"/>
      <c r="D22" s="98"/>
      <c r="E22" s="98"/>
      <c r="F22" s="99"/>
      <c r="G22" s="27">
        <f>SUM(G20:G21)*'Fane 14. Nøgletal'!C27</f>
        <v>244762.65829697737</v>
      </c>
      <c r="H22" s="14" t="s">
        <v>3</v>
      </c>
      <c r="I22" s="1"/>
    </row>
    <row r="23" spans="1:9" x14ac:dyDescent="0.25">
      <c r="A23" s="1"/>
      <c r="B23" s="41"/>
      <c r="C23" s="35"/>
      <c r="D23" s="35"/>
      <c r="E23" s="35"/>
      <c r="F23" s="35"/>
      <c r="G23" s="35"/>
      <c r="H23" s="23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1" t="s">
        <v>70</v>
      </c>
      <c r="C25" s="92"/>
      <c r="D25" s="92"/>
      <c r="E25" s="92"/>
      <c r="F25" s="92"/>
      <c r="G25" s="92"/>
      <c r="H25" s="93"/>
      <c r="I25" s="1"/>
    </row>
    <row r="26" spans="1:9" x14ac:dyDescent="0.25">
      <c r="A26" s="1"/>
      <c r="B26" s="97" t="s">
        <v>64</v>
      </c>
      <c r="C26" s="98"/>
      <c r="D26" s="98"/>
      <c r="E26" s="98"/>
      <c r="F26" s="99"/>
      <c r="G26" s="27">
        <f>(G20+G21-G22)*(1+'Fane 14. Nøgletal'!C12)</f>
        <v>12229639.650605962</v>
      </c>
      <c r="H26" s="14" t="s">
        <v>3</v>
      </c>
      <c r="I26" s="1"/>
    </row>
    <row r="27" spans="1:9" x14ac:dyDescent="0.25">
      <c r="A27" s="1"/>
      <c r="B27" s="100" t="s">
        <v>65</v>
      </c>
      <c r="C27" s="101"/>
      <c r="D27" s="101"/>
      <c r="E27" s="101"/>
      <c r="F27" s="102"/>
      <c r="G27" s="27">
        <v>1153045.9679151601</v>
      </c>
      <c r="H27" s="14" t="s">
        <v>3</v>
      </c>
      <c r="I27" s="1"/>
    </row>
    <row r="28" spans="1:9" x14ac:dyDescent="0.25">
      <c r="A28" s="1"/>
      <c r="B28" s="97" t="s">
        <v>66</v>
      </c>
      <c r="C28" s="98"/>
      <c r="D28" s="98"/>
      <c r="E28" s="98"/>
      <c r="F28" s="99"/>
      <c r="G28" s="27">
        <f>(G26+G27)*'Fane 14. Nøgletal'!C27</f>
        <v>267653.71237042244</v>
      </c>
      <c r="H28" s="14" t="s">
        <v>3</v>
      </c>
      <c r="I28" s="1"/>
    </row>
    <row r="29" spans="1:9" x14ac:dyDescent="0.25">
      <c r="A29" s="1"/>
      <c r="B29" s="41"/>
      <c r="C29" s="35"/>
      <c r="D29" s="35"/>
      <c r="E29" s="35"/>
      <c r="F29" s="35"/>
      <c r="G29" s="35"/>
      <c r="H29" s="23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1" t="s">
        <v>73</v>
      </c>
      <c r="C31" s="92"/>
      <c r="D31" s="92"/>
      <c r="E31" s="92"/>
      <c r="F31" s="92"/>
      <c r="G31" s="92"/>
      <c r="H31" s="93"/>
      <c r="I31" s="1"/>
    </row>
    <row r="32" spans="1:9" x14ac:dyDescent="0.25">
      <c r="A32" s="1"/>
      <c r="B32" s="97" t="s">
        <v>74</v>
      </c>
      <c r="C32" s="98"/>
      <c r="D32" s="98"/>
      <c r="E32" s="98"/>
      <c r="F32" s="99"/>
      <c r="G32" s="27">
        <f>(G26+G27-G28)*(1+'Fane 14. Nøgletal'!C12)</f>
        <v>13373398.034701871</v>
      </c>
      <c r="H32" s="14" t="s">
        <v>3</v>
      </c>
      <c r="I32" s="1"/>
    </row>
    <row r="33" spans="1:9" x14ac:dyDescent="0.25">
      <c r="A33" s="1"/>
      <c r="B33" s="97" t="s">
        <v>230</v>
      </c>
      <c r="C33" s="98"/>
      <c r="D33" s="98"/>
      <c r="E33" s="98"/>
      <c r="F33" s="99"/>
      <c r="G33" s="27">
        <f>SUM('Fane 2.1. Økonomisk ramme 2021'!C10,'Fane 2.1. Økonomisk ramme 2021'!C12,'Fane 2.1. Økonomisk ramme 2021'!C14)*(1+'Fane 14. Nøgletal'!C13)</f>
        <v>331298.11290239997</v>
      </c>
      <c r="H33" s="14" t="s">
        <v>3</v>
      </c>
      <c r="I33" s="1"/>
    </row>
    <row r="34" spans="1:9" x14ac:dyDescent="0.25">
      <c r="A34" s="1"/>
      <c r="B34" s="97" t="s">
        <v>75</v>
      </c>
      <c r="C34" s="98"/>
      <c r="D34" s="98"/>
      <c r="E34" s="98"/>
      <c r="F34" s="99"/>
      <c r="G34" s="27">
        <f>(G32+G33)*'Fane 14. Nøgletal'!C27</f>
        <v>274093.92295208538</v>
      </c>
      <c r="H34" s="14" t="s">
        <v>3</v>
      </c>
      <c r="I34" s="1"/>
    </row>
    <row r="35" spans="1:9" x14ac:dyDescent="0.25">
      <c r="A35" s="1"/>
      <c r="B35" s="41"/>
      <c r="C35" s="35"/>
      <c r="D35" s="35"/>
      <c r="E35" s="35"/>
      <c r="F35" s="35"/>
      <c r="G35" s="35"/>
      <c r="H35" s="23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1" t="s">
        <v>100</v>
      </c>
      <c r="C37" s="92"/>
      <c r="D37" s="92"/>
      <c r="E37" s="92"/>
      <c r="F37" s="92"/>
      <c r="G37" s="92"/>
      <c r="H37" s="93"/>
      <c r="I37" s="1"/>
    </row>
    <row r="38" spans="1:9" x14ac:dyDescent="0.25">
      <c r="A38" s="1"/>
      <c r="B38" s="97" t="s">
        <v>99</v>
      </c>
      <c r="C38" s="98"/>
      <c r="D38" s="98"/>
      <c r="E38" s="98"/>
      <c r="F38" s="99"/>
      <c r="G38" s="27">
        <f>(G32+G33-G34)*(1+'Fane 14. Nøgletal'!C13)</f>
        <v>13594455.571792942</v>
      </c>
      <c r="H38" s="14" t="s">
        <v>3</v>
      </c>
      <c r="I38" s="1"/>
    </row>
    <row r="39" spans="1:9" x14ac:dyDescent="0.25">
      <c r="A39" s="1"/>
      <c r="B39" s="97" t="s">
        <v>117</v>
      </c>
      <c r="C39" s="98"/>
      <c r="D39" s="98"/>
      <c r="E39" s="98"/>
      <c r="F39" s="99"/>
      <c r="G39" s="27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7" t="s">
        <v>76</v>
      </c>
      <c r="C40" s="98"/>
      <c r="D40" s="98"/>
      <c r="E40" s="98"/>
      <c r="F40" s="99"/>
      <c r="G40" s="27">
        <f>(G38+G39)*'Fane 14. Nøgletal'!C27</f>
        <v>271889.11143585882</v>
      </c>
      <c r="H40" s="14" t="s">
        <v>3</v>
      </c>
      <c r="I40" s="1"/>
    </row>
    <row r="41" spans="1:9" x14ac:dyDescent="0.25">
      <c r="A41" s="1"/>
      <c r="B41" s="41"/>
      <c r="C41" s="35"/>
      <c r="D41" s="35"/>
      <c r="E41" s="35"/>
      <c r="F41" s="35"/>
      <c r="G41" s="35"/>
      <c r="H41" s="23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1" t="s">
        <v>101</v>
      </c>
      <c r="C43" s="92"/>
      <c r="D43" s="92"/>
      <c r="E43" s="92"/>
      <c r="F43" s="92"/>
      <c r="G43" s="92"/>
      <c r="H43" s="93"/>
      <c r="I43" s="1"/>
    </row>
    <row r="44" spans="1:9" x14ac:dyDescent="0.25">
      <c r="A44" s="1"/>
      <c r="B44" s="97" t="s">
        <v>98</v>
      </c>
      <c r="C44" s="98"/>
      <c r="D44" s="98"/>
      <c r="E44" s="98"/>
      <c r="F44" s="99"/>
      <c r="G44" s="27">
        <f>(G38+G39-G40)*(1+'Fane 14. Nøgletal'!C13)</f>
        <v>13485101.77117344</v>
      </c>
      <c r="H44" s="14" t="s">
        <v>3</v>
      </c>
      <c r="I44" s="1"/>
    </row>
    <row r="45" spans="1:9" x14ac:dyDescent="0.25">
      <c r="A45" s="1"/>
      <c r="B45" s="97" t="s">
        <v>118</v>
      </c>
      <c r="C45" s="98"/>
      <c r="D45" s="98"/>
      <c r="E45" s="98"/>
      <c r="F45" s="99"/>
      <c r="G45" s="27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7" t="s">
        <v>77</v>
      </c>
      <c r="C46" s="98"/>
      <c r="D46" s="98"/>
      <c r="E46" s="98"/>
      <c r="F46" s="99"/>
      <c r="G46" s="27">
        <f>(G44+G45)*'Fane 14. Nøgletal'!C27</f>
        <v>269702.0354234688</v>
      </c>
      <c r="H46" s="14" t="s">
        <v>3</v>
      </c>
      <c r="I46" s="1"/>
    </row>
    <row r="47" spans="1:9" x14ac:dyDescent="0.25">
      <c r="A47" s="1"/>
      <c r="B47" s="41"/>
      <c r="C47" s="35"/>
      <c r="D47" s="35"/>
      <c r="E47" s="35"/>
      <c r="F47" s="35"/>
      <c r="G47" s="35"/>
      <c r="H47" s="23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1" t="s">
        <v>231</v>
      </c>
      <c r="C51" s="92"/>
      <c r="D51" s="92"/>
      <c r="E51" s="92"/>
      <c r="F51" s="92"/>
      <c r="G51" s="92"/>
      <c r="H51" s="93"/>
      <c r="I51" s="1"/>
    </row>
    <row r="52" spans="1:9" x14ac:dyDescent="0.25">
      <c r="A52" s="1"/>
      <c r="B52" s="97" t="s">
        <v>232</v>
      </c>
      <c r="C52" s="98"/>
      <c r="D52" s="98"/>
      <c r="E52" s="98"/>
      <c r="F52" s="99"/>
      <c r="G52" s="27">
        <f>(G44+G45-G46)*(1+'Fane 14. Nøgletal'!C13)</f>
        <v>13376627.612526121</v>
      </c>
      <c r="H52" s="14" t="s">
        <v>3</v>
      </c>
      <c r="I52" s="1"/>
    </row>
    <row r="53" spans="1:9" x14ac:dyDescent="0.25">
      <c r="A53" s="1"/>
      <c r="B53" s="97" t="s">
        <v>233</v>
      </c>
      <c r="C53" s="98"/>
      <c r="D53" s="98"/>
      <c r="E53" s="98"/>
      <c r="F53" s="99"/>
      <c r="G53" s="27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7" t="s">
        <v>234</v>
      </c>
      <c r="C54" s="98"/>
      <c r="D54" s="98"/>
      <c r="E54" s="98"/>
      <c r="F54" s="99"/>
      <c r="G54" s="27">
        <f>(G52+G53)*'Fane 14. Nøgletal'!C27</f>
        <v>267532.55225052242</v>
      </c>
      <c r="H54" s="14" t="s">
        <v>3</v>
      </c>
      <c r="I54" s="1"/>
    </row>
    <row r="55" spans="1:9" x14ac:dyDescent="0.25">
      <c r="A55" s="1"/>
      <c r="B55" s="41"/>
      <c r="C55" s="35"/>
      <c r="D55" s="35"/>
      <c r="E55" s="35"/>
      <c r="F55" s="35"/>
      <c r="G55" s="35"/>
      <c r="H55" s="23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03" t="s">
        <v>164</v>
      </c>
      <c r="C1" s="103"/>
      <c r="D1" s="103"/>
      <c r="E1" s="103"/>
      <c r="F1" s="103"/>
      <c r="G1" s="103"/>
      <c r="H1" s="103"/>
      <c r="I1" s="1"/>
    </row>
    <row r="2" spans="1:9" ht="15" customHeight="1" x14ac:dyDescent="0.25">
      <c r="A2" s="1"/>
      <c r="B2" s="103"/>
      <c r="C2" s="103"/>
      <c r="D2" s="103"/>
      <c r="E2" s="103"/>
      <c r="F2" s="103"/>
      <c r="G2" s="103"/>
      <c r="H2" s="103"/>
      <c r="I2" s="1"/>
    </row>
    <row r="3" spans="1:9" ht="15" customHeight="1" x14ac:dyDescent="0.25">
      <c r="A3" s="1"/>
      <c r="B3" s="104"/>
      <c r="C3" s="104"/>
      <c r="D3" s="104"/>
      <c r="E3" s="104"/>
      <c r="F3" s="104"/>
      <c r="G3" s="104"/>
      <c r="H3" s="104"/>
      <c r="I3" s="1"/>
    </row>
    <row r="4" spans="1:9" x14ac:dyDescent="0.25">
      <c r="A4" s="1"/>
      <c r="B4" s="91" t="s">
        <v>71</v>
      </c>
      <c r="C4" s="92"/>
      <c r="D4" s="92"/>
      <c r="E4" s="92"/>
      <c r="F4" s="92"/>
      <c r="G4" s="92"/>
      <c r="H4" s="93"/>
      <c r="I4" s="1"/>
    </row>
    <row r="5" spans="1:9" x14ac:dyDescent="0.25">
      <c r="A5" s="1"/>
      <c r="B5" s="97" t="s">
        <v>78</v>
      </c>
      <c r="C5" s="98"/>
      <c r="D5" s="98"/>
      <c r="E5" s="98"/>
      <c r="F5" s="99"/>
      <c r="G5" s="27">
        <v>37222804.169744208</v>
      </c>
      <c r="H5" s="14" t="s">
        <v>3</v>
      </c>
      <c r="I5" s="1"/>
    </row>
    <row r="6" spans="1:9" x14ac:dyDescent="0.25">
      <c r="A6" s="1"/>
      <c r="B6" s="97" t="s">
        <v>72</v>
      </c>
      <c r="C6" s="98"/>
      <c r="D6" s="98"/>
      <c r="E6" s="98"/>
      <c r="F6" s="99"/>
      <c r="G6" s="27">
        <f>G5*'Fane 14. Nøgletal'!C18</f>
        <v>338727.51794467232</v>
      </c>
      <c r="H6" s="14" t="s">
        <v>3</v>
      </c>
      <c r="I6" s="1"/>
    </row>
    <row r="7" spans="1:9" x14ac:dyDescent="0.25">
      <c r="A7" s="1"/>
      <c r="B7" s="41"/>
      <c r="C7" s="35"/>
      <c r="D7" s="35"/>
      <c r="E7" s="35"/>
      <c r="F7" s="35"/>
      <c r="G7" s="35"/>
      <c r="H7" s="23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1" t="s">
        <v>79</v>
      </c>
      <c r="C9" s="92"/>
      <c r="D9" s="92"/>
      <c r="E9" s="92"/>
      <c r="F9" s="92"/>
      <c r="G9" s="92"/>
      <c r="H9" s="93"/>
      <c r="I9" s="1"/>
    </row>
    <row r="10" spans="1:9" x14ac:dyDescent="0.25">
      <c r="A10" s="1"/>
      <c r="B10" s="97" t="s">
        <v>80</v>
      </c>
      <c r="C10" s="98"/>
      <c r="D10" s="98"/>
      <c r="E10" s="98"/>
      <c r="F10" s="99"/>
      <c r="G10" s="27">
        <f>(G5-G6)*(1+'Fane 14. Nøgletal'!C10)</f>
        <v>37529547.993206032</v>
      </c>
      <c r="H10" s="14" t="s">
        <v>3</v>
      </c>
      <c r="I10" s="1"/>
    </row>
    <row r="11" spans="1:9" x14ac:dyDescent="0.25">
      <c r="A11" s="1"/>
      <c r="B11" s="97" t="s">
        <v>183</v>
      </c>
      <c r="C11" s="98"/>
      <c r="D11" s="98"/>
      <c r="E11" s="98"/>
      <c r="F11" s="99"/>
      <c r="G11" s="27">
        <v>-266250.65748365002</v>
      </c>
      <c r="H11" s="14" t="s">
        <v>3</v>
      </c>
      <c r="I11" s="1"/>
    </row>
    <row r="12" spans="1:9" x14ac:dyDescent="0.25">
      <c r="A12" s="1"/>
      <c r="B12" s="100" t="s">
        <v>81</v>
      </c>
      <c r="C12" s="101"/>
      <c r="D12" s="101"/>
      <c r="E12" s="101"/>
      <c r="F12" s="102"/>
      <c r="G12" s="27">
        <v>0</v>
      </c>
      <c r="H12" s="14" t="s">
        <v>3</v>
      </c>
      <c r="I12" s="1"/>
    </row>
    <row r="13" spans="1:9" x14ac:dyDescent="0.25">
      <c r="A13" s="1"/>
      <c r="B13" s="97" t="s">
        <v>82</v>
      </c>
      <c r="C13" s="98"/>
      <c r="D13" s="98"/>
      <c r="E13" s="98"/>
      <c r="F13" s="99"/>
      <c r="G13" s="27">
        <f>SUM(G10:G12)*'Fane 14. Nøgletal'!C19</f>
        <v>659560.36284228612</v>
      </c>
      <c r="H13" s="14" t="s">
        <v>3</v>
      </c>
      <c r="I13" s="1"/>
    </row>
    <row r="14" spans="1:9" x14ac:dyDescent="0.25">
      <c r="A14" s="1"/>
      <c r="B14" s="41"/>
      <c r="C14" s="35"/>
      <c r="D14" s="35"/>
      <c r="E14" s="35"/>
      <c r="F14" s="35"/>
      <c r="G14" s="35"/>
      <c r="H14" s="23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1" t="s">
        <v>83</v>
      </c>
      <c r="C16" s="92"/>
      <c r="D16" s="92"/>
      <c r="E16" s="92"/>
      <c r="F16" s="92"/>
      <c r="G16" s="92"/>
      <c r="H16" s="93"/>
      <c r="I16" s="1"/>
    </row>
    <row r="17" spans="1:9" x14ac:dyDescent="0.25">
      <c r="A17" s="1"/>
      <c r="B17" s="97" t="s">
        <v>84</v>
      </c>
      <c r="C17" s="98"/>
      <c r="D17" s="98"/>
      <c r="E17" s="98"/>
      <c r="F17" s="99"/>
      <c r="G17" s="27">
        <f>(SUM(G10:G12)-G13)*(1+'Fane 14. Nøgletal'!C10)</f>
        <v>37244302.369905502</v>
      </c>
      <c r="H17" s="14" t="s">
        <v>3</v>
      </c>
      <c r="I17" s="1"/>
    </row>
    <row r="18" spans="1:9" x14ac:dyDescent="0.25">
      <c r="A18" s="1"/>
      <c r="B18" s="100" t="s">
        <v>85</v>
      </c>
      <c r="C18" s="101"/>
      <c r="D18" s="101"/>
      <c r="E18" s="101"/>
      <c r="F18" s="102"/>
      <c r="G18" s="27">
        <v>1192000.8235030996</v>
      </c>
      <c r="H18" s="14" t="s">
        <v>3</v>
      </c>
      <c r="I18" s="1"/>
    </row>
    <row r="19" spans="1:9" x14ac:dyDescent="0.25">
      <c r="A19" s="1"/>
      <c r="B19" s="97" t="s">
        <v>86</v>
      </c>
      <c r="C19" s="98"/>
      <c r="D19" s="98"/>
      <c r="E19" s="98"/>
      <c r="F19" s="99"/>
      <c r="G19" s="27">
        <f>G17*'Fane 14. Nøgletal'!C19+G18*'Fane 14. Nøgletal'!C20</f>
        <v>669594.55911180435</v>
      </c>
      <c r="H19" s="14" t="s">
        <v>3</v>
      </c>
      <c r="I19" s="1"/>
    </row>
    <row r="20" spans="1:9" x14ac:dyDescent="0.25">
      <c r="A20" s="1"/>
      <c r="B20" s="41"/>
      <c r="C20" s="35"/>
      <c r="D20" s="35"/>
      <c r="E20" s="35"/>
      <c r="F20" s="35"/>
      <c r="G20" s="35"/>
      <c r="H20" s="23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1" t="s">
        <v>87</v>
      </c>
      <c r="C22" s="92"/>
      <c r="D22" s="92"/>
      <c r="E22" s="92"/>
      <c r="F22" s="92"/>
      <c r="G22" s="92"/>
      <c r="H22" s="93"/>
      <c r="I22" s="1"/>
    </row>
    <row r="23" spans="1:9" x14ac:dyDescent="0.25">
      <c r="A23" s="1"/>
      <c r="B23" s="97" t="s">
        <v>88</v>
      </c>
      <c r="C23" s="98"/>
      <c r="D23" s="98"/>
      <c r="E23" s="98"/>
      <c r="F23" s="99"/>
      <c r="G23" s="27">
        <f>(G17+G18-G19)*(1+'Fane 14. Nøgletal'!C12)</f>
        <v>38510712.794392444</v>
      </c>
      <c r="H23" s="14" t="s">
        <v>3</v>
      </c>
      <c r="I23" s="1"/>
    </row>
    <row r="24" spans="1:9" x14ac:dyDescent="0.25">
      <c r="A24" s="1"/>
      <c r="B24" s="100" t="s">
        <v>89</v>
      </c>
      <c r="C24" s="101"/>
      <c r="D24" s="101"/>
      <c r="E24" s="101"/>
      <c r="F24" s="102"/>
      <c r="G24" s="27">
        <v>2613646.6958190603</v>
      </c>
      <c r="H24" s="14" t="s">
        <v>3</v>
      </c>
      <c r="I24" s="1"/>
    </row>
    <row r="25" spans="1:9" x14ac:dyDescent="0.25">
      <c r="A25" s="1"/>
      <c r="B25" s="97" t="s">
        <v>90</v>
      </c>
      <c r="C25" s="98"/>
      <c r="D25" s="98"/>
      <c r="E25" s="98"/>
      <c r="F25" s="99"/>
      <c r="G25" s="27">
        <f>(G23+G24)*'Fane 14. Nøgletal'!C21</f>
        <v>1167931.8095220067</v>
      </c>
      <c r="H25" s="14" t="s">
        <v>3</v>
      </c>
      <c r="I25" s="1"/>
    </row>
    <row r="26" spans="1:9" x14ac:dyDescent="0.25">
      <c r="A26" s="1"/>
      <c r="B26" s="41"/>
      <c r="C26" s="35"/>
      <c r="D26" s="35"/>
      <c r="E26" s="35"/>
      <c r="F26" s="35"/>
      <c r="G26" s="35"/>
      <c r="H26" s="23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1" t="s">
        <v>91</v>
      </c>
      <c r="C28" s="92"/>
      <c r="D28" s="92"/>
      <c r="E28" s="92"/>
      <c r="F28" s="92"/>
      <c r="G28" s="92"/>
      <c r="H28" s="93"/>
      <c r="I28" s="1"/>
    </row>
    <row r="29" spans="1:9" x14ac:dyDescent="0.25">
      <c r="A29" s="1"/>
      <c r="B29" s="97" t="s">
        <v>92</v>
      </c>
      <c r="C29" s="98"/>
      <c r="D29" s="98"/>
      <c r="E29" s="98"/>
      <c r="F29" s="99"/>
      <c r="G29" s="27">
        <f>(G23+G24-G25)*(1+'Fane 14. Nøgletal'!C12)</f>
        <v>40743569.305999085</v>
      </c>
      <c r="H29" s="14" t="s">
        <v>3</v>
      </c>
      <c r="I29" s="1"/>
    </row>
    <row r="30" spans="1:9" x14ac:dyDescent="0.25">
      <c r="A30" s="1"/>
      <c r="B30" s="97" t="s">
        <v>235</v>
      </c>
      <c r="C30" s="98"/>
      <c r="D30" s="98"/>
      <c r="E30" s="98"/>
      <c r="F30" s="99"/>
      <c r="G30" s="27">
        <f>SUM('Fane 2.1. Økonomisk ramme 2021'!C11,'Fane 2.1. Økonomisk ramme 2021'!C13,'Fane 2.1. Økonomisk ramme 2021'!C15)*(1+'Fane 14. Nøgletal'!C13)</f>
        <v>2221791.53427504</v>
      </c>
      <c r="H30" s="14" t="s">
        <v>3</v>
      </c>
      <c r="I30" s="1"/>
    </row>
    <row r="31" spans="1:9" x14ac:dyDescent="0.25">
      <c r="A31" s="1"/>
      <c r="B31" s="97" t="s">
        <v>93</v>
      </c>
      <c r="C31" s="98"/>
      <c r="D31" s="98"/>
      <c r="E31" s="98"/>
      <c r="F31" s="99"/>
      <c r="G31" s="27">
        <f>G29*'Fane 14. Nøgletal'!C21+G30*'Fane 14. Nøgletal'!C22</f>
        <v>1218216.6354829376</v>
      </c>
      <c r="H31" s="14" t="s">
        <v>3</v>
      </c>
      <c r="I31" s="1"/>
    </row>
    <row r="32" spans="1:9" x14ac:dyDescent="0.25">
      <c r="A32" s="1"/>
      <c r="B32" s="41"/>
      <c r="C32" s="35"/>
      <c r="D32" s="35"/>
      <c r="E32" s="35"/>
      <c r="F32" s="35"/>
      <c r="G32" s="35"/>
      <c r="H32" s="23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1" t="s">
        <v>102</v>
      </c>
      <c r="C34" s="92"/>
      <c r="D34" s="92"/>
      <c r="E34" s="92"/>
      <c r="F34" s="92"/>
      <c r="G34" s="92"/>
      <c r="H34" s="93"/>
      <c r="I34" s="1"/>
    </row>
    <row r="35" spans="1:9" x14ac:dyDescent="0.25">
      <c r="A35" s="1"/>
      <c r="B35" s="97" t="s">
        <v>97</v>
      </c>
      <c r="C35" s="98"/>
      <c r="D35" s="98"/>
      <c r="E35" s="98"/>
      <c r="F35" s="99"/>
      <c r="G35" s="27">
        <f>(G29+G30-G31)*(1+'Fane 14. Nøgletal'!C13)</f>
        <v>42256459.364089638</v>
      </c>
      <c r="H35" s="14" t="s">
        <v>3</v>
      </c>
      <c r="I35" s="1"/>
    </row>
    <row r="36" spans="1:9" x14ac:dyDescent="0.25">
      <c r="A36" s="1"/>
      <c r="B36" s="97" t="s">
        <v>122</v>
      </c>
      <c r="C36" s="98"/>
      <c r="D36" s="98"/>
      <c r="E36" s="98"/>
      <c r="F36" s="99"/>
      <c r="G36" s="27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7" t="s">
        <v>94</v>
      </c>
      <c r="C37" s="98"/>
      <c r="D37" s="98"/>
      <c r="E37" s="98"/>
      <c r="F37" s="99"/>
      <c r="G37" s="27">
        <f>(G35+G36)*'Fane 14. Nøgletal'!C22</f>
        <v>1162052.6325124651</v>
      </c>
      <c r="H37" s="14" t="s">
        <v>3</v>
      </c>
      <c r="I37" s="1"/>
    </row>
    <row r="38" spans="1:9" x14ac:dyDescent="0.25">
      <c r="A38" s="1"/>
      <c r="B38" s="41"/>
      <c r="C38" s="35"/>
      <c r="D38" s="35"/>
      <c r="E38" s="35"/>
      <c r="F38" s="35"/>
      <c r="G38" s="35"/>
      <c r="H38" s="23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1" t="s">
        <v>103</v>
      </c>
      <c r="C40" s="92"/>
      <c r="D40" s="92"/>
      <c r="E40" s="92"/>
      <c r="F40" s="92"/>
      <c r="G40" s="92"/>
      <c r="H40" s="93"/>
      <c r="I40" s="1"/>
    </row>
    <row r="41" spans="1:9" x14ac:dyDescent="0.25">
      <c r="A41" s="1"/>
      <c r="B41" s="97" t="s">
        <v>96</v>
      </c>
      <c r="C41" s="98"/>
      <c r="D41" s="98"/>
      <c r="E41" s="98"/>
      <c r="F41" s="99"/>
      <c r="G41" s="27">
        <f>(G35+G36-G37)*(1+'Fane 14. Nøgletal'!C13)</f>
        <v>41595758.493702412</v>
      </c>
      <c r="H41" s="14" t="s">
        <v>3</v>
      </c>
      <c r="I41" s="1"/>
    </row>
    <row r="42" spans="1:9" x14ac:dyDescent="0.25">
      <c r="A42" s="1"/>
      <c r="B42" s="97" t="s">
        <v>123</v>
      </c>
      <c r="C42" s="98"/>
      <c r="D42" s="98"/>
      <c r="E42" s="98"/>
      <c r="F42" s="99"/>
      <c r="G42" s="27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7" t="s">
        <v>95</v>
      </c>
      <c r="C43" s="98"/>
      <c r="D43" s="98"/>
      <c r="E43" s="98"/>
      <c r="F43" s="99"/>
      <c r="G43" s="27">
        <f>(G41+G42)*'Fane 14. Nøgletal'!C22</f>
        <v>1143883.3585768163</v>
      </c>
      <c r="H43" s="14" t="s">
        <v>3</v>
      </c>
      <c r="I43" s="1"/>
    </row>
    <row r="44" spans="1:9" x14ac:dyDescent="0.25">
      <c r="A44" s="1"/>
      <c r="B44" s="41"/>
      <c r="C44" s="35"/>
      <c r="D44" s="35"/>
      <c r="E44" s="35"/>
      <c r="F44" s="35"/>
      <c r="G44" s="35"/>
      <c r="H44" s="23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1" t="s">
        <v>240</v>
      </c>
      <c r="C46" s="92"/>
      <c r="D46" s="92"/>
      <c r="E46" s="92"/>
      <c r="F46" s="92"/>
      <c r="G46" s="92"/>
      <c r="H46" s="93"/>
      <c r="I46" s="1"/>
    </row>
    <row r="47" spans="1:9" x14ac:dyDescent="0.25">
      <c r="A47" s="1"/>
      <c r="B47" s="97" t="s">
        <v>241</v>
      </c>
      <c r="C47" s="98"/>
      <c r="D47" s="98"/>
      <c r="E47" s="98"/>
      <c r="F47" s="99"/>
      <c r="G47" s="27">
        <f>(G41+G42-G43)*(1+'Fane 14. Nøgletal'!C13)</f>
        <v>40945388.011774123</v>
      </c>
      <c r="H47" s="14" t="s">
        <v>3</v>
      </c>
      <c r="I47" s="1"/>
    </row>
    <row r="48" spans="1:9" x14ac:dyDescent="0.25">
      <c r="A48" s="1"/>
      <c r="B48" s="97" t="s">
        <v>242</v>
      </c>
      <c r="C48" s="98"/>
      <c r="D48" s="98"/>
      <c r="E48" s="98"/>
      <c r="F48" s="99"/>
      <c r="G48" s="27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7" t="s">
        <v>243</v>
      </c>
      <c r="C49" s="98"/>
      <c r="D49" s="98"/>
      <c r="E49" s="98"/>
      <c r="F49" s="99"/>
      <c r="G49" s="27">
        <f>(G47+G48)*'Fane 14. Nøgletal'!C22</f>
        <v>1125998.1703237884</v>
      </c>
      <c r="H49" s="14" t="s">
        <v>3</v>
      </c>
      <c r="I49" s="1"/>
    </row>
    <row r="50" spans="1:9" x14ac:dyDescent="0.25">
      <c r="A50" s="1"/>
      <c r="B50" s="41"/>
      <c r="C50" s="35"/>
      <c r="D50" s="35"/>
      <c r="E50" s="35"/>
      <c r="F50" s="35"/>
      <c r="G50" s="35"/>
      <c r="H50" s="23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116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1" t="s">
        <v>10</v>
      </c>
      <c r="C8" s="92"/>
      <c r="D8" s="92"/>
      <c r="E8" s="92"/>
      <c r="F8" s="92"/>
      <c r="G8" s="92"/>
      <c r="H8" s="93"/>
      <c r="I8" s="1"/>
    </row>
    <row r="9" spans="1:9" x14ac:dyDescent="0.25">
      <c r="A9" s="1"/>
      <c r="B9" s="97" t="s">
        <v>104</v>
      </c>
      <c r="C9" s="98"/>
      <c r="D9" s="98"/>
      <c r="E9" s="98"/>
      <c r="F9" s="99"/>
      <c r="G9" s="26">
        <v>2.1605396950820665E-3</v>
      </c>
      <c r="H9" s="14"/>
      <c r="I9" s="1"/>
    </row>
    <row r="10" spans="1:9" x14ac:dyDescent="0.25">
      <c r="A10" s="1"/>
      <c r="B10" s="97" t="s">
        <v>105</v>
      </c>
      <c r="C10" s="98"/>
      <c r="D10" s="98"/>
      <c r="E10" s="98"/>
      <c r="F10" s="99"/>
      <c r="G10" s="26">
        <v>3.3457159770211731E-3</v>
      </c>
      <c r="H10" s="14"/>
      <c r="I10" s="1"/>
    </row>
    <row r="11" spans="1:9" x14ac:dyDescent="0.25">
      <c r="A11" s="1"/>
      <c r="B11" s="97" t="s">
        <v>106</v>
      </c>
      <c r="C11" s="98"/>
      <c r="D11" s="98"/>
      <c r="E11" s="98"/>
      <c r="F11" s="99"/>
      <c r="G11" s="44">
        <v>0</v>
      </c>
      <c r="H11" s="14"/>
      <c r="I11" s="1"/>
    </row>
    <row r="12" spans="1:9" x14ac:dyDescent="0.25">
      <c r="A12" s="1"/>
      <c r="B12" s="41"/>
      <c r="C12" s="35"/>
      <c r="D12" s="35"/>
      <c r="E12" s="35"/>
      <c r="F12" s="35"/>
      <c r="G12" s="35"/>
      <c r="H12" s="23"/>
      <c r="I12" s="1"/>
    </row>
    <row r="13" spans="1:9" ht="40.5" customHeight="1" x14ac:dyDescent="0.25">
      <c r="A13" s="1"/>
      <c r="B13" s="82" t="s">
        <v>258</v>
      </c>
      <c r="C13" s="83"/>
      <c r="D13" s="83"/>
      <c r="E13" s="83"/>
      <c r="F13" s="83"/>
      <c r="G13" s="83"/>
      <c r="H13" s="84"/>
      <c r="I13" s="1"/>
    </row>
    <row r="14" spans="1:9" ht="14.25" customHeight="1" x14ac:dyDescent="0.25">
      <c r="A14" s="21"/>
      <c r="B14" s="105"/>
      <c r="C14" s="105"/>
      <c r="D14" s="105"/>
      <c r="E14" s="105"/>
      <c r="F14" s="105"/>
      <c r="G14" s="105"/>
      <c r="H14" s="105"/>
      <c r="I14" s="2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2020-09-09T09:07:23Z</dcterms:modified>
</cp:coreProperties>
</file>