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amsø Spildevand AS (S08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5" l="1"/>
  <c r="E22" i="4"/>
  <c r="E30" i="8"/>
  <c r="E27" i="2" s="1"/>
  <c r="E31" i="8"/>
  <c r="E26" i="3" s="1"/>
  <c r="E10" i="2" l="1"/>
  <c r="E15" i="13" l="1"/>
  <c r="E16" i="13" s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2" i="11" s="1"/>
  <c r="C13" i="11" s="1"/>
  <c r="G11" i="10"/>
  <c r="E11" i="15" l="1"/>
  <c r="E12" i="15" s="1"/>
  <c r="C11" i="15"/>
  <c r="C12" i="15" s="1"/>
  <c r="E11" i="14"/>
  <c r="E12" i="14" s="1"/>
  <c r="C11" i="14"/>
  <c r="C12" i="14" s="1"/>
  <c r="C13" i="7"/>
  <c r="C14" i="7" s="1"/>
  <c r="E12" i="2" l="1"/>
  <c r="E13" i="2"/>
  <c r="E14" i="5"/>
  <c r="E18" i="2"/>
  <c r="E17" i="3"/>
  <c r="E14" i="4"/>
  <c r="E11" i="10" l="1"/>
  <c r="E10" i="11" s="1"/>
  <c r="E12" i="11" s="1"/>
  <c r="E13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<sst xmlns="http://schemas.openxmlformats.org/spreadsheetml/2006/main" count="525" uniqueCount="187">
  <si>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</si>
  <si>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</si>
  <si>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</si>
  <si>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</si>
  <si>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</si>
  <si>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</si>
  <si>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</si>
  <si>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</si>
  <si>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</si>
  <si>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</si>
  <si>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</si>
  <si>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</si>
  <si>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</si>
  <si>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</si>
  <si>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</si>
  <si>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</si>
  <si>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</si>
  <si>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</si>
  <si>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</si>
  <si>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</si>
  <si>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</si>
  <si>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</si>
  <si>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</si>
  <si>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</si>
  <si>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</si>
  <si>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</si>
  <si>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</si>
  <si>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</si>
  <si>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</si>
  <si>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</si>
  <si>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</si>
  <si>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</si>
  <si>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</si>
  <si>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</si>
  <si>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</si>
  <si>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</si>
  <si>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</si>
  <si>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</si>
  <si>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</si>
  <si>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</si>
  <si>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</si>
  <si>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</si>
  <si>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</si>
  <si>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</si>
  <si>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</si>
  <si>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</si>
  <si>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</si>
  <si>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</si>
  <si>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</si>
  <si>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</si>
  <si>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</si>
  <si>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</si>
  <si>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</si>
  <si>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</si>
  <si>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</si>
  <si>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</si>
  <si>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</si>
  <si>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</si>
  <si>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</si>
  <si>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</si>
  <si>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</si>
  <si>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</si>
  <si>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</si>
  <si>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</si>
  <si>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</si>
  <si>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</si>
  <si>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</si>
  <si>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</si>
  <si>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</si>
  <si>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</si>
  <si>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</si>
  <si>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</si>
  <si>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</si>
  <si>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</si>
  <si>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</si>
  <si>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</si>
  <si>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</si>
  <si>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</si>
  <si>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</si>
  <si>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</si>
  <si>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</si>
  <si>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</si>
  <si>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</si>
  <si>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</si>
  <si>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</si>
  <si>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</si>
  <si>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</si>
  <si>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</si>
  <si>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</si>
  <si>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</si>
  <si>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</si>
  <si>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</si>
  <si>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</si>
  <si>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</si>
  <si>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</si>
  <si>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</si>
  <si>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</si>
  <si>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</si>
  <si>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</si>
  <si>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</si>
  <si>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</si>
  <si>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</si>
  <si>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</si>
  <si>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</si>
  <si>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</si>
  <si>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</si>
  <si>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</si>
  <si>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</si>
  <si>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</si>
  <si>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</si>
  <si>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</si>
  <si>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</si>
  <si>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</si>
  <si>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</si>
  <si>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</si>
  <si>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</si>
  <si>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</si>
  <si>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</si>
  <si>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</si>
  <si>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</si>
  <si>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</si>
  <si>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</si>
  <si>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</si>
  <si>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</si>
  <si>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</si>
  <si>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</si>
  <si>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</si>
  <si>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</si>
  <si>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</si>
  <si>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</si>
  <si>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</si>
  <si>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</si>
  <si>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</si>
  <si>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</si>
  <si>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</si>
  <si>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</si>
  <si>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</si>
  <si>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</si>
  <si>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</si>
  <si>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</si>
  <si>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</si>
  <si>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</si>
  <si>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</si>
  <si>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</si>
  <si>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</si>
  <si>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</si>
  <si>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</si>
  <si>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</si>
  <si>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</si>
  <si>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</si>
  <si>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</si>
  <si>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</si>
  <si>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</si>
  <si>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</si>
  <si>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</si>
  <si>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</si>
  <si>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</si>
  <si>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</si>
  <si>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</si>
  <si>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</si>
  <si>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</si>
  <si>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</si>
  <si>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</si>
  <si>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Nye ejendomme 2020</t>
  </si>
  <si>
    <t>Ingen tilknyttet virksomhed</t>
  </si>
  <si>
    <t>Spildevandsafgift</t>
  </si>
  <si>
    <t>Afgift til Forsyningssekretariatet</t>
  </si>
  <si>
    <t>Ejendomsskat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</si>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</sst>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9" t="s">
        <v>148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106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16</v>
      </c>
      <c r="D14" s="61" t="s">
        <v>107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33</v>
      </c>
      <c r="D15" s="61" t="s">
        <v>149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34</v>
      </c>
      <c r="D16" s="61" t="s">
        <v>110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108</v>
      </c>
      <c r="D17" s="61" t="s">
        <v>111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73" t="s">
        <v>12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8</v>
      </c>
      <c r="D19" s="65" t="s">
        <v>112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70</v>
      </c>
      <c r="D20" s="65" t="s">
        <v>113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41</v>
      </c>
      <c r="D21" s="65" t="s">
        <v>35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71</v>
      </c>
      <c r="D22" s="65" t="s">
        <v>42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72</v>
      </c>
      <c r="D23" s="65" t="s">
        <v>43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44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55</v>
      </c>
      <c r="D25" s="65" t="s">
        <v>81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73</v>
      </c>
      <c r="D26" s="65" t="s">
        <v>36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15</v>
      </c>
      <c r="D27" s="70" t="s">
        <v>74</v>
      </c>
      <c r="E27" s="71"/>
      <c r="F27" s="71"/>
      <c r="G27" s="72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TEKSmy0m+W5dfKPZlvY7hdLpCC7kna4J2hhS51mmfeTMdZ5aR9QzjlIY52KO/2oaabpqlmmu1SlK0heCu1SRQ==" saltValue="NnM0t0h0oZmplPWZWnPslw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101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8"/>
      <c r="I9" s="1"/>
    </row>
    <row r="10" spans="1:9" x14ac:dyDescent="0.25">
      <c r="A10" s="1"/>
      <c r="B10" s="56" t="s">
        <v>185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2" t="s">
        <v>102</v>
      </c>
      <c r="C11" s="93"/>
      <c r="D11" s="9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OZCx0qRew0dSX0VCuIH3PhoYKcKnGtsif8OBKRsyK9fzmCVI49oL7kvMAQ4wD+DJTrQXcHYk9XUqlC0XUsV4Q==" saltValue="7E7wM0gakM1vjYDFB4lFxQ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38</v>
      </c>
      <c r="C8" s="22"/>
      <c r="D8" s="22"/>
      <c r="E8" s="22"/>
      <c r="F8" s="60"/>
      <c r="G8" s="1"/>
    </row>
    <row r="9" spans="1:7" ht="17.25" customHeight="1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9" t="s">
        <v>163</v>
      </c>
      <c r="C11" s="19">
        <v>183422</v>
      </c>
      <c r="D11" s="12" t="s">
        <v>3</v>
      </c>
      <c r="E11" s="8">
        <v>200679</v>
      </c>
      <c r="F11" s="12" t="s">
        <v>3</v>
      </c>
      <c r="G11" s="1"/>
    </row>
    <row r="12" spans="1:7" x14ac:dyDescent="0.25">
      <c r="A12" s="1"/>
      <c r="B12" s="59" t="s">
        <v>85</v>
      </c>
      <c r="C12" s="10">
        <f>SUM(C10:C11)</f>
        <v>183422</v>
      </c>
      <c r="D12" s="11" t="s">
        <v>3</v>
      </c>
      <c r="E12" s="10">
        <f>SUM(E10:E11)</f>
        <v>200679</v>
      </c>
      <c r="F12" s="11" t="s">
        <v>3</v>
      </c>
      <c r="G12" s="1"/>
    </row>
    <row r="13" spans="1:7" x14ac:dyDescent="0.25">
      <c r="A13" s="1"/>
      <c r="B13" s="59" t="s">
        <v>136</v>
      </c>
      <c r="C13" s="10">
        <f>C12*(1+'Fane 12. Nøgletal'!C14)</f>
        <v>184027.29260000002</v>
      </c>
      <c r="D13" s="11" t="s">
        <v>3</v>
      </c>
      <c r="E13" s="10">
        <f>E12*(1+'Fane 12. Nøgletal'!C14)</f>
        <v>201341.24070000002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zgdZ35sxXO8NKKpxPCscKS9LMViT3o76aCzQNRVfv7emK0IGLnjALpSn1WoBGxBkMHNL0ctwFsiggD2FiiiAA==" saltValue="wqFDsVVSQ7Hg8QomreWkzA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57</v>
      </c>
      <c r="C8" s="93"/>
      <c r="D8" s="93"/>
      <c r="E8" s="93"/>
      <c r="F8" s="94"/>
      <c r="G8" s="1"/>
    </row>
    <row r="9" spans="1:7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168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9" t="s">
        <v>137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9" t="s">
        <v>96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58</v>
      </c>
      <c r="C15" s="93"/>
      <c r="D15" s="93"/>
      <c r="E15" s="93"/>
      <c r="F15" s="94"/>
      <c r="G15" s="1"/>
    </row>
    <row r="16" spans="1:7" x14ac:dyDescent="0.25">
      <c r="A16" s="1"/>
      <c r="B16" s="40" t="s">
        <v>17</v>
      </c>
      <c r="C16" s="40" t="s">
        <v>11</v>
      </c>
      <c r="D16" s="41"/>
      <c r="E16" s="40" t="s">
        <v>29</v>
      </c>
      <c r="F16" s="58"/>
      <c r="G16" s="1"/>
    </row>
    <row r="17" spans="1:7" x14ac:dyDescent="0.25">
      <c r="A17" s="1"/>
      <c r="B17" s="20" t="s">
        <v>168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9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9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2" t="s">
        <v>98</v>
      </c>
      <c r="C22" s="93"/>
      <c r="D22" s="93"/>
      <c r="E22" s="93"/>
      <c r="F22" s="94"/>
      <c r="G22" s="1"/>
    </row>
    <row r="23" spans="1:7" x14ac:dyDescent="0.25">
      <c r="A23" s="1"/>
      <c r="B23" s="40" t="s">
        <v>17</v>
      </c>
      <c r="C23" s="40" t="s">
        <v>11</v>
      </c>
      <c r="D23" s="41"/>
      <c r="E23" s="40" t="s">
        <v>29</v>
      </c>
      <c r="F23" s="58"/>
      <c r="G23" s="1"/>
    </row>
    <row r="24" spans="1:7" x14ac:dyDescent="0.25">
      <c r="A24" s="1"/>
      <c r="B24" s="20" t="s">
        <v>168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9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9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138</v>
      </c>
      <c r="C29" s="93"/>
      <c r="D29" s="93"/>
      <c r="E29" s="93"/>
      <c r="F29" s="94"/>
      <c r="G29" s="1"/>
    </row>
    <row r="30" spans="1:7" x14ac:dyDescent="0.25">
      <c r="A30" s="1"/>
      <c r="B30" s="40" t="s">
        <v>17</v>
      </c>
      <c r="C30" s="40" t="s">
        <v>11</v>
      </c>
      <c r="D30" s="41"/>
      <c r="E30" s="40" t="s">
        <v>29</v>
      </c>
      <c r="F30" s="58"/>
      <c r="G30" s="1"/>
    </row>
    <row r="31" spans="1:7" x14ac:dyDescent="0.25">
      <c r="A31" s="1"/>
      <c r="B31" s="20" t="s">
        <v>168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9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9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xow20iUYoDJPxB0bOh8PIgpnLWuLh+hXPwoM0EuPpen9IQxBuCuXvQGKKT7TDRDSWLhbktWgzMuooguQlZ8eQ==" saltValue="8qi4MTXzq5TlsjdVuTWBsw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77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50</v>
      </c>
      <c r="C8" s="93"/>
      <c r="D8" s="93"/>
      <c r="E8" s="93"/>
      <c r="F8" s="94"/>
      <c r="G8" s="1"/>
    </row>
    <row r="9" spans="1:7" x14ac:dyDescent="0.25">
      <c r="A9" s="1"/>
      <c r="B9" s="110" t="s">
        <v>86</v>
      </c>
      <c r="C9" s="111"/>
      <c r="D9" s="112"/>
      <c r="E9" s="8">
        <v>4903.4029616553889</v>
      </c>
      <c r="F9" s="12" t="s">
        <v>3</v>
      </c>
      <c r="G9" s="1"/>
    </row>
    <row r="10" spans="1:7" x14ac:dyDescent="0.25">
      <c r="A10" s="1"/>
      <c r="B10" s="84" t="s">
        <v>65</v>
      </c>
      <c r="C10" s="85"/>
      <c r="D10" s="86"/>
      <c r="E10" s="8">
        <f>-E9*'Fane 12. Nøgletal'!C19</f>
        <v>-83.357850348141625</v>
      </c>
      <c r="F10" s="12" t="s">
        <v>3</v>
      </c>
      <c r="G10" s="1"/>
    </row>
    <row r="11" spans="1:7" x14ac:dyDescent="0.25">
      <c r="A11" s="1"/>
      <c r="B11" s="92" t="s">
        <v>158</v>
      </c>
      <c r="C11" s="93"/>
      <c r="D11" s="94"/>
      <c r="E11" s="10">
        <f>SUM(E9:E10)*(1+'Fane 12. Nøgletal'!C13)^3</f>
        <v>5013.4495176451137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2" t="s">
        <v>51</v>
      </c>
      <c r="C13" s="93"/>
      <c r="D13" s="93"/>
      <c r="E13" s="93"/>
      <c r="F13" s="94"/>
      <c r="G13" s="1"/>
    </row>
    <row r="14" spans="1:7" x14ac:dyDescent="0.25">
      <c r="A14" s="1"/>
      <c r="B14" s="110" t="s">
        <v>86</v>
      </c>
      <c r="C14" s="111"/>
      <c r="D14" s="112"/>
      <c r="E14" s="8">
        <v>4903.4029616553889</v>
      </c>
      <c r="F14" s="12" t="s">
        <v>3</v>
      </c>
      <c r="G14" s="1"/>
    </row>
    <row r="15" spans="1:7" x14ac:dyDescent="0.25">
      <c r="A15" s="1"/>
      <c r="B15" s="84" t="s">
        <v>65</v>
      </c>
      <c r="C15" s="85"/>
      <c r="D15" s="86"/>
      <c r="E15" s="8">
        <f>-E14*'Fane 12. Nøgletal'!C19</f>
        <v>-83.357850348141625</v>
      </c>
      <c r="F15" s="12" t="s">
        <v>3</v>
      </c>
      <c r="G15" s="1"/>
    </row>
    <row r="16" spans="1:7" x14ac:dyDescent="0.25">
      <c r="A16" s="1"/>
      <c r="B16" s="92" t="s">
        <v>52</v>
      </c>
      <c r="C16" s="93"/>
      <c r="D16" s="94"/>
      <c r="E16" s="10">
        <f>SUM(E14:E15)*(1+'Fane 12. Nøgletal'!C13)^4</f>
        <v>5079.6270512780293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2" t="s">
        <v>87</v>
      </c>
      <c r="C18" s="93"/>
      <c r="D18" s="93"/>
      <c r="E18" s="93"/>
      <c r="F18" s="94"/>
      <c r="G18" s="1"/>
    </row>
    <row r="19" spans="1:7" x14ac:dyDescent="0.25">
      <c r="A19" s="1"/>
      <c r="B19" s="110" t="s">
        <v>140</v>
      </c>
      <c r="C19" s="111"/>
      <c r="D19" s="112"/>
      <c r="E19" s="8">
        <v>0</v>
      </c>
      <c r="F19" s="12" t="s">
        <v>3</v>
      </c>
      <c r="G19" s="1"/>
    </row>
    <row r="20" spans="1:7" x14ac:dyDescent="0.25">
      <c r="A20" s="1"/>
      <c r="B20" s="84" t="s">
        <v>65</v>
      </c>
      <c r="C20" s="85"/>
      <c r="D20" s="86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2" t="s">
        <v>88</v>
      </c>
      <c r="C21" s="93"/>
      <c r="D21" s="94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2" t="s">
        <v>141</v>
      </c>
      <c r="C23" s="93"/>
      <c r="D23" s="93"/>
      <c r="E23" s="93"/>
      <c r="F23" s="94"/>
      <c r="G23" s="1"/>
    </row>
    <row r="24" spans="1:7" ht="15" customHeight="1" x14ac:dyDescent="0.25">
      <c r="A24" s="1"/>
      <c r="B24" s="110" t="s">
        <v>140</v>
      </c>
      <c r="C24" s="111"/>
      <c r="D24" s="112"/>
      <c r="E24" s="8">
        <v>0</v>
      </c>
      <c r="F24" s="12" t="s">
        <v>3</v>
      </c>
      <c r="G24" s="1"/>
    </row>
    <row r="25" spans="1:7" x14ac:dyDescent="0.25">
      <c r="A25" s="1"/>
      <c r="B25" s="84" t="s">
        <v>65</v>
      </c>
      <c r="C25" s="85"/>
      <c r="D25" s="86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2" t="s">
        <v>142</v>
      </c>
      <c r="C26" s="93"/>
      <c r="D26" s="94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YfBvIXxEMLFOxmvO9tDsuer28moK7wcERjsG2tXkfW6AVgodJ4OQNxiJCk9VWxFx1BgzlIes0xvSRQFsEaRHA==" saltValue="JJccH+Ch1+IWqz03A0+4dw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90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91</v>
      </c>
      <c r="C9" s="113" t="s">
        <v>11</v>
      </c>
      <c r="D9" s="114"/>
      <c r="E9" s="113" t="s">
        <v>29</v>
      </c>
      <c r="F9" s="114"/>
      <c r="G9" s="1"/>
    </row>
    <row r="10" spans="1:7" x14ac:dyDescent="0.25">
      <c r="A10" s="1"/>
      <c r="B10" s="20" t="s">
        <v>164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28dpBmKfSMgCgIlkXP/luiYXTZyHb9zL+IEBkBSssgafWJhoMVqO9p07JdVyB/POgceuwhlS7ZOCcWPBeLtVA==" saltValue="qI5b4dEGZix/mAJ7WLCMcA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69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53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18</v>
      </c>
      <c r="C9" s="57" t="s">
        <v>11</v>
      </c>
      <c r="D9" s="58"/>
      <c r="E9" s="57" t="s">
        <v>29</v>
      </c>
      <c r="F9" s="58"/>
      <c r="G9" s="1"/>
    </row>
    <row r="10" spans="1:7" x14ac:dyDescent="0.25">
      <c r="A10" s="1"/>
      <c r="B10" s="20" t="s">
        <v>169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9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9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54</v>
      </c>
      <c r="C14" s="93"/>
      <c r="D14" s="93"/>
      <c r="E14" s="93"/>
      <c r="F14" s="94"/>
      <c r="G14" s="1"/>
    </row>
    <row r="15" spans="1:7" ht="26.25" x14ac:dyDescent="0.25">
      <c r="A15" s="1"/>
      <c r="B15" s="57" t="s">
        <v>18</v>
      </c>
      <c r="C15" s="57" t="s">
        <v>11</v>
      </c>
      <c r="D15" s="58"/>
      <c r="E15" s="57" t="s">
        <v>29</v>
      </c>
      <c r="F15" s="58"/>
      <c r="G15" s="1"/>
    </row>
    <row r="16" spans="1:7" x14ac:dyDescent="0.25">
      <c r="A16" s="1"/>
      <c r="B16" s="20" t="s">
        <v>169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9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9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93</v>
      </c>
      <c r="C20" s="93"/>
      <c r="D20" s="93"/>
      <c r="E20" s="93"/>
      <c r="F20" s="94"/>
      <c r="G20" s="1"/>
    </row>
    <row r="21" spans="1:7" ht="26.25" x14ac:dyDescent="0.25">
      <c r="A21" s="1"/>
      <c r="B21" s="57" t="s">
        <v>18</v>
      </c>
      <c r="C21" s="57" t="s">
        <v>11</v>
      </c>
      <c r="D21" s="58"/>
      <c r="E21" s="57" t="s">
        <v>29</v>
      </c>
      <c r="F21" s="58"/>
      <c r="G21" s="1"/>
    </row>
    <row r="22" spans="1:7" x14ac:dyDescent="0.25">
      <c r="A22" s="1"/>
      <c r="B22" s="20" t="s">
        <v>169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9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9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144</v>
      </c>
      <c r="C26" s="93"/>
      <c r="D26" s="93"/>
      <c r="E26" s="93"/>
      <c r="F26" s="94"/>
      <c r="G26" s="1"/>
    </row>
    <row r="27" spans="1:7" ht="26.25" x14ac:dyDescent="0.25">
      <c r="A27" s="1"/>
      <c r="B27" s="57" t="s">
        <v>18</v>
      </c>
      <c r="C27" s="57" t="s">
        <v>11</v>
      </c>
      <c r="D27" s="58"/>
      <c r="E27" s="57" t="s">
        <v>29</v>
      </c>
      <c r="F27" s="58"/>
      <c r="G27" s="1"/>
    </row>
    <row r="28" spans="1:7" x14ac:dyDescent="0.25">
      <c r="A28" s="1"/>
      <c r="B28" s="20" t="s">
        <v>169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9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9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lST9f6RrRtjTv7Klj88vuvukd+OAC/U6xZHbYaMoWp2i5xN946LtpKNADpHNWb89c/YI5LY6tsWKId8Wbf2Dg==" saltValue="QLQTNl/L2MhHF6wjTmv6jQ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109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60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9"/>
      <c r="C15" s="6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65</v>
      </c>
      <c r="C18" s="60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5"/>
      <c r="C20" s="116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1uziXi7wzao5dhSVvhPRLsTGTaQhci49w25HALi+20FbcOfEvC7Fupdvg5aB9a+t3FFw1kFqnVg2oGZUXJGag==" saltValue="7UBf4Q1OZmgE0YMyqGzpVA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8" t="s">
        <v>25</v>
      </c>
      <c r="C9" s="48"/>
      <c r="D9" s="48"/>
      <c r="E9" s="7">
        <f>'Fane 3. Omkostninger i ØR2021'!$E$16</f>
        <v>15773079.430224041</v>
      </c>
      <c r="F9" s="48" t="s">
        <v>3</v>
      </c>
      <c r="G9" s="1"/>
    </row>
    <row r="10" spans="1:7" x14ac:dyDescent="0.25">
      <c r="A10" s="1"/>
      <c r="B10" s="35" t="s">
        <v>150</v>
      </c>
      <c r="C10" s="48"/>
      <c r="D10" s="48"/>
      <c r="E10" s="7">
        <f>('Fane 3. Omkostninger i ØR2021'!E11+'Fane 3. Omkostninger i ØR2021'!E12)*(1+'Fane 12. Nøgletal'!C13)*(1-'Fane 12. Nøgletal'!C19)</f>
        <v>483179.95189783123</v>
      </c>
      <c r="F10" s="48" t="s">
        <v>3</v>
      </c>
      <c r="G10" s="1"/>
    </row>
    <row r="11" spans="1:7" ht="17.100000000000001" customHeight="1" x14ac:dyDescent="0.25">
      <c r="A11" s="1"/>
      <c r="B11" s="27" t="s">
        <v>78</v>
      </c>
      <c r="C11" s="48"/>
      <c r="D11" s="48"/>
      <c r="E11" s="7">
        <f>'Fane 8.1. Varige tillæg'!C13+'Fane 8.1. Varige tillæg'!E13</f>
        <v>385368.53330000001</v>
      </c>
      <c r="F11" s="48" t="s">
        <v>3</v>
      </c>
      <c r="G11" s="1"/>
    </row>
    <row r="12" spans="1:7" ht="17.100000000000001" customHeight="1" x14ac:dyDescent="0.25">
      <c r="A12" s="1"/>
      <c r="B12" s="27" t="s">
        <v>79</v>
      </c>
      <c r="C12" s="48"/>
      <c r="D12" s="48"/>
      <c r="E12" s="8">
        <f>-('Fane 11. Bortfald'!C12+'Fane 11. Bortfald'!E12)</f>
        <v>0</v>
      </c>
      <c r="F12" s="48" t="s">
        <v>3</v>
      </c>
      <c r="G12" s="1"/>
    </row>
    <row r="13" spans="1:7" ht="17.100000000000001" customHeight="1" x14ac:dyDescent="0.25">
      <c r="A13" s="1"/>
      <c r="B13" s="27" t="s">
        <v>82</v>
      </c>
      <c r="C13" s="48"/>
      <c r="D13" s="48"/>
      <c r="E13" s="8">
        <f>'Fane 10. Tilknyttet virksomhed'!C12+'Fane 10. Tilknyttet virksomhed'!E12</f>
        <v>0</v>
      </c>
      <c r="F13" s="48" t="s">
        <v>3</v>
      </c>
      <c r="G13" s="1"/>
    </row>
    <row r="14" spans="1:7" ht="17.100000000000001" customHeight="1" x14ac:dyDescent="0.25">
      <c r="A14" s="1"/>
      <c r="B14" s="27" t="s">
        <v>19</v>
      </c>
      <c r="C14" s="48"/>
      <c r="D14" s="48"/>
      <c r="E14" s="8">
        <f>E9*'Fane 12. Nøgletal'!C13+SUM(E11:E13)*'Fane 12. Nøgletal'!C14</f>
        <v>209476.36463884733</v>
      </c>
      <c r="F14" s="48" t="s">
        <v>3</v>
      </c>
      <c r="G14" s="1"/>
    </row>
    <row r="15" spans="1:7" ht="17.100000000000001" customHeight="1" x14ac:dyDescent="0.25">
      <c r="A15" s="1"/>
      <c r="B15" s="27" t="s">
        <v>65</v>
      </c>
      <c r="C15" s="48"/>
      <c r="D15" s="48"/>
      <c r="E15" s="8">
        <f>-SUM(E9,E11:E14)*'Fane 12. Nøgletal'!C19</f>
        <v>-278254.71357876912</v>
      </c>
      <c r="F15" s="48" t="s">
        <v>3</v>
      </c>
      <c r="G15" s="1"/>
    </row>
    <row r="16" spans="1:7" ht="15" customHeight="1" x14ac:dyDescent="0.25">
      <c r="A16" s="1"/>
      <c r="B16" s="55" t="s">
        <v>21</v>
      </c>
      <c r="C16" s="43"/>
      <c r="D16" s="43"/>
      <c r="E16" s="9">
        <f>SUM(E9,E11:E15)</f>
        <v>16089669.614584118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omk.'!C14+'Fane 4. Ikke-påvirkelige omk.'!C18+'Fane 4. Ikke-påvirkelige omk.'!C26</f>
        <v>159804.51184195004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5" t="s">
        <v>44</v>
      </c>
      <c r="C20" s="43"/>
      <c r="D20" s="43"/>
      <c r="E20" s="9">
        <f>'Fane 9. Periodevise driftsomk.'!E11</f>
        <v>5013.4495176451137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8"/>
      <c r="D22" s="48"/>
      <c r="E22" s="8">
        <f>'Fane 8.2. Engangstillæg'!C13</f>
        <v>0</v>
      </c>
      <c r="F22" s="48" t="s">
        <v>3</v>
      </c>
      <c r="G22" s="1"/>
    </row>
    <row r="23" spans="1:7" x14ac:dyDescent="0.25">
      <c r="A23" s="1"/>
      <c r="B23" s="27" t="s">
        <v>40</v>
      </c>
      <c r="C23" s="48"/>
      <c r="D23" s="48"/>
      <c r="E23" s="8">
        <f>'Fane 8.2. Engangstillæg'!E13</f>
        <v>0</v>
      </c>
      <c r="F23" s="48" t="s">
        <v>3</v>
      </c>
      <c r="G23" s="1"/>
    </row>
    <row r="24" spans="1:7" ht="15" customHeight="1" x14ac:dyDescent="0.25">
      <c r="A24" s="1"/>
      <c r="B24" s="55" t="s">
        <v>45</v>
      </c>
      <c r="C24" s="43"/>
      <c r="D24" s="43"/>
      <c r="E24" s="9">
        <f>SUM(E22:E23)</f>
        <v>0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60"/>
      <c r="E25" s="30"/>
      <c r="F25" s="30"/>
      <c r="G25" s="1"/>
    </row>
    <row r="26" spans="1:7" x14ac:dyDescent="0.25">
      <c r="A26" s="1"/>
      <c r="B26" s="55" t="s">
        <v>32</v>
      </c>
      <c r="C26" s="43"/>
      <c r="D26" s="43"/>
      <c r="E26" s="9">
        <v>491440.31535072176</v>
      </c>
      <c r="F26" s="31" t="s">
        <v>3</v>
      </c>
      <c r="G26" s="1"/>
    </row>
    <row r="27" spans="1:7" x14ac:dyDescent="0.25">
      <c r="A27" s="1"/>
      <c r="B27" s="55" t="s">
        <v>104</v>
      </c>
      <c r="C27" s="43"/>
      <c r="D27" s="43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-826211.95206980198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5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15919715.939224634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XJTi1TkCftitLWlqr1IuPXinzbAZnL6NhXxtHw05kIQd1TX1bMnMuDcZbNTozOr8lnlSUeL1fZREaJFoFq98w==" saltValue="4BIcL41VdbOAypQ9Thwm3w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8" t="s">
        <v>117</v>
      </c>
      <c r="C9" s="48"/>
      <c r="D9" s="48"/>
      <c r="E9" s="7">
        <f>'Fane 2.1. Økonomisk ramme 2022'!E16</f>
        <v>16089669.614584118</v>
      </c>
      <c r="F9" s="48" t="s">
        <v>3</v>
      </c>
      <c r="G9" s="1"/>
    </row>
    <row r="10" spans="1:7" ht="15" customHeight="1" x14ac:dyDescent="0.25">
      <c r="A10" s="1"/>
      <c r="B10" s="35" t="s">
        <v>150</v>
      </c>
      <c r="C10" s="48"/>
      <c r="D10" s="48"/>
      <c r="E10" s="7">
        <f>'Fane 2.1. Økonomisk ramme 2022'!E10*(1-'Fane 12. Nøgletal'!C19)*(1+'Fane 12. Nøgletal'!C13)</f>
        <v>481235.44249941362</v>
      </c>
      <c r="F10" s="48" t="s">
        <v>3</v>
      </c>
      <c r="G10" s="1"/>
    </row>
    <row r="11" spans="1:7" ht="15" customHeight="1" x14ac:dyDescent="0.25">
      <c r="A11" s="1"/>
      <c r="B11" s="35" t="s">
        <v>151</v>
      </c>
      <c r="C11" s="48"/>
      <c r="D11" s="48"/>
      <c r="E11" s="7">
        <f>SUM('Fane 2.1. Økonomisk ramme 2022'!E12,'Fane 2.1. Økonomisk ramme 2022'!E11,'Fane 2.1. Økonomisk ramme 2022'!E13)*(1-'Fane 12. Nøgletal'!C19)*(1+'Fane 12. Nøgletal'!C14)</f>
        <v>380067.36521907191</v>
      </c>
      <c r="F11" s="48" t="s">
        <v>3</v>
      </c>
      <c r="G11" s="1"/>
    </row>
    <row r="12" spans="1:7" ht="15" customHeight="1" x14ac:dyDescent="0.25">
      <c r="A12" s="1"/>
      <c r="B12" s="27" t="s">
        <v>79</v>
      </c>
      <c r="C12" s="48"/>
      <c r="D12" s="48"/>
      <c r="E12" s="7">
        <f>-('Fane 11. Bortfald'!C18+'Fane 11. Bortfald'!E18)</f>
        <v>0</v>
      </c>
      <c r="F12" s="48" t="s">
        <v>3</v>
      </c>
      <c r="G12" s="1"/>
    </row>
    <row r="13" spans="1:7" ht="15" customHeight="1" x14ac:dyDescent="0.25">
      <c r="A13" s="1"/>
      <c r="B13" s="42" t="s">
        <v>19</v>
      </c>
      <c r="C13" s="48"/>
      <c r="D13" s="48"/>
      <c r="E13" s="8">
        <f>(E9-E11)*'Fane 12. Nøgletal'!C13+SUM(E11:E12)*'Fane 12. Nøgletal'!C14</f>
        <v>208620.97199684154</v>
      </c>
      <c r="F13" s="48" t="s">
        <v>3</v>
      </c>
      <c r="G13" s="1"/>
    </row>
    <row r="14" spans="1:7" ht="15" customHeight="1" x14ac:dyDescent="0.25">
      <c r="A14" s="1"/>
      <c r="B14" s="42" t="s">
        <v>65</v>
      </c>
      <c r="C14" s="48"/>
      <c r="D14" s="48"/>
      <c r="E14" s="8">
        <f>-SUM(E9,E12:E13)*'Fane 12. Nøgletal'!C19</f>
        <v>-277070.93997187633</v>
      </c>
      <c r="F14" s="48" t="s">
        <v>3</v>
      </c>
      <c r="G14" s="1"/>
    </row>
    <row r="15" spans="1:7" ht="15" customHeight="1" x14ac:dyDescent="0.25">
      <c r="A15" s="1"/>
      <c r="B15" s="43" t="s">
        <v>21</v>
      </c>
      <c r="C15" s="43"/>
      <c r="D15" s="43"/>
      <c r="E15" s="9">
        <f>SUM(E9,E12:E14)</f>
        <v>16021219.646609083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omk.'!C14*(1+'Fane 12. Nøgletal'!C14)+'Fane 4. Ikke-påvirkelige omk.'!C19+'Fane 4. Ikke-påvirkelige omk.'!C27</f>
        <v>160331.86673102848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5" t="s">
        <v>44</v>
      </c>
      <c r="C19" s="43"/>
      <c r="D19" s="43"/>
      <c r="E19" s="9">
        <f>'Fane 9. Periodevise driftsomk.'!E16</f>
        <v>5079.6270512780293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8"/>
      <c r="D21" s="48"/>
      <c r="E21" s="8">
        <f>'Fane 8.2. Engangstillæg'!C20</f>
        <v>0</v>
      </c>
      <c r="F21" s="48" t="s">
        <v>3</v>
      </c>
      <c r="G21" s="1"/>
    </row>
    <row r="22" spans="1:7" ht="15" customHeight="1" x14ac:dyDescent="0.25">
      <c r="A22" s="1"/>
      <c r="B22" s="27" t="s">
        <v>40</v>
      </c>
      <c r="C22" s="48"/>
      <c r="D22" s="48"/>
      <c r="E22" s="8">
        <f>'Fane 8.2. Engangstillæg'!E20</f>
        <v>0</v>
      </c>
      <c r="F22" s="48" t="s">
        <v>3</v>
      </c>
      <c r="G22" s="1"/>
    </row>
    <row r="23" spans="1:7" ht="15" customHeight="1" x14ac:dyDescent="0.25">
      <c r="A23" s="1"/>
      <c r="B23" s="55" t="s">
        <v>45</v>
      </c>
      <c r="C23" s="43"/>
      <c r="D23" s="43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60"/>
      <c r="E24" s="30"/>
      <c r="F24" s="30"/>
      <c r="G24" s="1"/>
    </row>
    <row r="25" spans="1:7" ht="15" customHeight="1" x14ac:dyDescent="0.25">
      <c r="A25" s="1"/>
      <c r="B25" s="55" t="s">
        <v>32</v>
      </c>
      <c r="C25" s="43"/>
      <c r="D25" s="43"/>
      <c r="E25" s="9">
        <v>491440.31535072176</v>
      </c>
      <c r="F25" s="31" t="s">
        <v>3</v>
      </c>
      <c r="G25" s="1"/>
    </row>
    <row r="26" spans="1:7" x14ac:dyDescent="0.25">
      <c r="A26" s="1"/>
      <c r="B26" s="55" t="s">
        <v>104</v>
      </c>
      <c r="C26" s="43"/>
      <c r="D26" s="43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5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16678071.455742113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tgrP51m9N+HUJzETOJF88PXOrAreYOrJAu/Ozwjef32WiHEMaNoMH+PRjjA8HdN/tjfvpuGmBS4xDvp4J/joSA==" saltValue="e6c0lMhTutAHSNaNchguZg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157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2.2. Økonomisk ramme 2023'!E15</f>
        <v>16021219.646609083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Bortfald'!C24+'Fane 11. Bortfald'!E24)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52870.02483380997</v>
      </c>
      <c r="F10" s="48" t="s">
        <v>3</v>
      </c>
      <c r="G10" s="1"/>
    </row>
    <row r="11" spans="1:7" x14ac:dyDescent="0.25">
      <c r="A11" s="1"/>
      <c r="B11" s="42" t="s">
        <v>65</v>
      </c>
      <c r="C11" s="48"/>
      <c r="D11" s="48"/>
      <c r="E11" s="8">
        <f>-SUM(E8:E10)*'Fane 12. Nøgletal'!C19</f>
        <v>-273259.52441452921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15800830.147028362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Nøgletal'!C14)^2+'Fane 4. Ikke-påvirkelige omk.'!C20+'Fane 4. Ikke-påvirkelige omk.'!C28</f>
        <v>160860.96189124088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Engangstillæg'!C27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Engangstillæg'!E27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15961691.108919604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OytcVuuIcg0HpQOWq6RoVG5/d1qmxM7/x/8fNlwoyOJDz95UXIgIn6jbdYe71hs/trHmHNweDYDHQhpRqAR/Ag==" saltValue="bEb0+pbqTB9ZMMKzE0HpOw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120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22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2.3. Økonomisk ramme 2024'!E12</f>
        <v>15800830.147028362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Bortfald'!C30+'Fane 11. Bortfald'!E30)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52142.739485193597</v>
      </c>
      <c r="F10" s="48" t="s">
        <v>3</v>
      </c>
      <c r="G10" s="1"/>
    </row>
    <row r="11" spans="1:7" ht="15" customHeight="1" x14ac:dyDescent="0.25">
      <c r="A11" s="1"/>
      <c r="B11" s="42" t="s">
        <v>65</v>
      </c>
      <c r="C11" s="48"/>
      <c r="D11" s="48"/>
      <c r="E11" s="8">
        <f>-SUM(E8:E10)*'Fane 12. Nøgletal'!C19</f>
        <v>-269500.53907073045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15583472.347442824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Nøgletal'!C14)^3+'Fane 4. Ikke-påvirkelige omk.'!C21+'Fane 4. Ikke-påvirkelige omk.'!C29</f>
        <v>161391.803065482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Engangstillæg'!C34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Engangstillæg'!E34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15744864.150508307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M3LgPBSI4LMufDTDswW/zQkYZX7K+ucLzWNTcYTZkD8osZWRMRPNYjIkJ0Dm/LHFYiROHQilN4o0EFDGR+jxSg==" saltValue="RHkEVxPFutmLC/F1hgf4Lg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122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91" t="s">
        <v>24</v>
      </c>
      <c r="C9" s="91"/>
      <c r="D9" s="91"/>
      <c r="E9" s="7">
        <v>15294167.421067992</v>
      </c>
      <c r="F9" s="48" t="s">
        <v>3</v>
      </c>
      <c r="G9" s="1"/>
    </row>
    <row r="10" spans="1:7" x14ac:dyDescent="0.25">
      <c r="A10" s="1"/>
      <c r="B10" s="82" t="s">
        <v>159</v>
      </c>
      <c r="C10" s="82"/>
      <c r="D10" s="82"/>
      <c r="E10" s="7">
        <v>57513.361399176945</v>
      </c>
      <c r="F10" s="48" t="s">
        <v>3</v>
      </c>
      <c r="G10" s="1"/>
    </row>
    <row r="11" spans="1:7" x14ac:dyDescent="0.25">
      <c r="A11" s="1"/>
      <c r="B11" s="82" t="s">
        <v>78</v>
      </c>
      <c r="C11" s="82"/>
      <c r="D11" s="82"/>
      <c r="E11" s="7">
        <v>485132.31840000011</v>
      </c>
      <c r="F11" s="48" t="s">
        <v>3</v>
      </c>
      <c r="G11" s="1"/>
    </row>
    <row r="12" spans="1:7" x14ac:dyDescent="0.25">
      <c r="A12" s="1"/>
      <c r="B12" s="82" t="s">
        <v>79</v>
      </c>
      <c r="C12" s="82"/>
      <c r="D12" s="82"/>
      <c r="E12" s="8">
        <v>0</v>
      </c>
      <c r="F12" s="48" t="s">
        <v>3</v>
      </c>
      <c r="G12" s="1"/>
    </row>
    <row r="13" spans="1:7" x14ac:dyDescent="0.25">
      <c r="A13" s="1"/>
      <c r="B13" s="82" t="s">
        <v>82</v>
      </c>
      <c r="C13" s="82"/>
      <c r="D13" s="82"/>
      <c r="E13" s="8">
        <v>0</v>
      </c>
      <c r="F13" s="48" t="s">
        <v>3</v>
      </c>
      <c r="G13" s="1"/>
    </row>
    <row r="14" spans="1:7" x14ac:dyDescent="0.25">
      <c r="A14" s="1"/>
      <c r="B14" s="82" t="s">
        <v>19</v>
      </c>
      <c r="C14" s="82"/>
      <c r="D14" s="82"/>
      <c r="E14" s="8">
        <f>SUM(E9:E12)*'Fane 12. Nøgletal'!C13</f>
        <v>209045.93293144662</v>
      </c>
      <c r="F14" s="48" t="s">
        <v>3</v>
      </c>
      <c r="G14" s="1"/>
    </row>
    <row r="15" spans="1:7" x14ac:dyDescent="0.25">
      <c r="A15" s="1"/>
      <c r="B15" s="82" t="s">
        <v>65</v>
      </c>
      <c r="C15" s="82"/>
      <c r="D15" s="82"/>
      <c r="E15" s="8">
        <f>-SUM(E9:E14)*'Fane 12. Nøgletal'!C19</f>
        <v>-272779.6035745765</v>
      </c>
      <c r="F15" s="48" t="s">
        <v>3</v>
      </c>
      <c r="G15" s="1"/>
    </row>
    <row r="16" spans="1:7" x14ac:dyDescent="0.25">
      <c r="A16" s="1"/>
      <c r="B16" s="83" t="s">
        <v>21</v>
      </c>
      <c r="C16" s="83"/>
      <c r="D16" s="83"/>
      <c r="E16" s="9">
        <f>SUM(E9:E15)</f>
        <v>15773079.430224041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60"/>
      <c r="G17" s="1"/>
    </row>
    <row r="18" spans="1:7" ht="14.25" customHeight="1" x14ac:dyDescent="0.25">
      <c r="A18" s="1"/>
      <c r="B18" s="79" t="s">
        <v>12</v>
      </c>
      <c r="C18" s="80"/>
      <c r="D18" s="81"/>
      <c r="E18" s="9">
        <v>139928.22835744004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5" t="s">
        <v>44</v>
      </c>
      <c r="C20" s="32"/>
      <c r="D20" s="33"/>
      <c r="E20" s="9">
        <v>4947.7275092417603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4" t="s">
        <v>39</v>
      </c>
      <c r="C22" s="85"/>
      <c r="D22" s="86"/>
      <c r="E22" s="37">
        <v>0</v>
      </c>
      <c r="F22" s="34" t="s">
        <v>3</v>
      </c>
      <c r="G22" s="1"/>
    </row>
    <row r="23" spans="1:7" ht="15.75" customHeight="1" x14ac:dyDescent="0.25">
      <c r="A23" s="1"/>
      <c r="B23" s="84" t="s">
        <v>40</v>
      </c>
      <c r="C23" s="85"/>
      <c r="D23" s="86"/>
      <c r="E23" s="34">
        <v>0</v>
      </c>
      <c r="F23" s="34" t="s">
        <v>3</v>
      </c>
      <c r="G23" s="1"/>
    </row>
    <row r="24" spans="1:7" x14ac:dyDescent="0.25">
      <c r="A24" s="1"/>
      <c r="B24" s="87" t="s">
        <v>45</v>
      </c>
      <c r="C24" s="88"/>
      <c r="D24" s="89"/>
      <c r="E24" s="9">
        <v>0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79" t="s">
        <v>160</v>
      </c>
      <c r="C26" s="80"/>
      <c r="D26" s="81"/>
      <c r="E26" s="9">
        <v>491440.31535072176</v>
      </c>
      <c r="F26" s="31" t="s">
        <v>3</v>
      </c>
      <c r="G26" s="1"/>
    </row>
    <row r="27" spans="1:7" ht="14.25" customHeight="1" x14ac:dyDescent="0.25">
      <c r="A27" s="1"/>
      <c r="B27" s="79" t="s">
        <v>104</v>
      </c>
      <c r="C27" s="80"/>
      <c r="D27" s="81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79" t="s">
        <v>80</v>
      </c>
      <c r="C29" s="80"/>
      <c r="D29" s="81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15917955.386090722</v>
      </c>
      <c r="F30" s="11" t="s">
        <v>3</v>
      </c>
      <c r="G30" s="1"/>
    </row>
    <row r="31" spans="1:7" ht="28.5" customHeight="1" x14ac:dyDescent="0.25">
      <c r="A31" s="1"/>
      <c r="B31" s="78" t="s">
        <v>124</v>
      </c>
      <c r="C31" s="78"/>
      <c r="D31" s="78"/>
      <c r="E31" s="78"/>
      <c r="F31" s="7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sfUUu1H9WPZuwbp2hWCq3QeS9CCldL1PsVjBD3U/mteVRvNNSdKzPXbO5VJBB2OwBD2WK5WmO5w5jJ4qJhGHkA==" saltValue="M0SJmjmNKGcBSoIjtET/zA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13:D13"/>
    <mergeCell ref="B3:F4"/>
    <mergeCell ref="B9:D9"/>
    <mergeCell ref="B11:D11"/>
    <mergeCell ref="B12:D12"/>
    <mergeCell ref="B10:D10"/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60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125</v>
      </c>
      <c r="C8" s="93"/>
      <c r="D8" s="94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165</v>
      </c>
      <c r="C10" s="8">
        <v>122143</v>
      </c>
      <c r="D10" s="12" t="s">
        <v>3</v>
      </c>
      <c r="E10" s="1"/>
      <c r="F10" s="1"/>
    </row>
    <row r="11" spans="1:6" x14ac:dyDescent="0.25">
      <c r="A11" s="1"/>
      <c r="B11" s="26" t="s">
        <v>166</v>
      </c>
      <c r="C11" s="8">
        <v>3709</v>
      </c>
      <c r="D11" s="12" t="s">
        <v>3</v>
      </c>
      <c r="E11" s="1"/>
      <c r="F11" s="1"/>
    </row>
    <row r="12" spans="1:6" x14ac:dyDescent="0.25">
      <c r="A12" s="1"/>
      <c r="B12" s="26" t="s">
        <v>167</v>
      </c>
      <c r="C12" s="8">
        <v>32903</v>
      </c>
      <c r="D12" s="12" t="s">
        <v>3</v>
      </c>
      <c r="E12" s="1"/>
      <c r="F12" s="1"/>
    </row>
    <row r="13" spans="1:6" x14ac:dyDescent="0.25">
      <c r="A13" s="1"/>
      <c r="B13" s="59" t="s">
        <v>127</v>
      </c>
      <c r="C13" s="10">
        <f>SUM(C10:C12)</f>
        <v>158755</v>
      </c>
      <c r="D13" s="11" t="s">
        <v>3</v>
      </c>
      <c r="E13" s="1"/>
      <c r="F13" s="1"/>
    </row>
    <row r="14" spans="1:6" x14ac:dyDescent="0.25">
      <c r="A14" s="1"/>
      <c r="B14" s="59" t="s">
        <v>128</v>
      </c>
      <c r="C14" s="10">
        <f>C13*(1+'Fane 12. Nøgletal'!C14)^2</f>
        <v>159804.51184195004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92" t="s">
        <v>75</v>
      </c>
      <c r="C17" s="93"/>
      <c r="D17" s="94"/>
      <c r="E17" s="1"/>
      <c r="F17" s="1"/>
    </row>
    <row r="18" spans="1:6" x14ac:dyDescent="0.25">
      <c r="A18" s="1"/>
      <c r="B18" s="26" t="s">
        <v>61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62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84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92"/>
      <c r="C22" s="93"/>
      <c r="D22" s="94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2" t="s">
        <v>59</v>
      </c>
      <c r="C25" s="93"/>
      <c r="D25" s="94"/>
      <c r="E25" s="1"/>
      <c r="F25" s="1"/>
    </row>
    <row r="26" spans="1:6" x14ac:dyDescent="0.25">
      <c r="A26" s="1"/>
      <c r="B26" s="26" t="s">
        <v>61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62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84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92"/>
      <c r="C30" s="93"/>
      <c r="D30" s="94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Q1Z+xKU7TiB9VVO5MUKbp9lorsCNKr0wdxqcC0X8NJIdgBRzbF6C6Rr5ThM8nRE8Ngq1evdGa8/WCTtIaCYwQ==" saltValue="u7F3N6B/6vtiOn1UZDalZA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186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170</v>
      </c>
      <c r="C8" s="93"/>
      <c r="D8" s="93"/>
      <c r="E8" s="93"/>
      <c r="F8" s="94"/>
      <c r="G8" s="1"/>
    </row>
    <row r="9" spans="1:7" x14ac:dyDescent="0.25">
      <c r="A9" s="1"/>
      <c r="B9" s="95" t="s">
        <v>171</v>
      </c>
      <c r="C9" s="96"/>
      <c r="D9" s="97"/>
      <c r="E9" s="8">
        <v>-1084337.0549999997</v>
      </c>
      <c r="F9" s="12" t="s">
        <v>3</v>
      </c>
      <c r="G9" s="1"/>
    </row>
    <row r="10" spans="1:7" x14ac:dyDescent="0.25">
      <c r="A10" s="1"/>
      <c r="B10" s="95" t="s">
        <v>172</v>
      </c>
      <c r="C10" s="96"/>
      <c r="D10" s="97"/>
      <c r="E10" s="8">
        <v>1928537.7046264466</v>
      </c>
      <c r="F10" s="12" t="s">
        <v>3</v>
      </c>
      <c r="G10" s="1"/>
    </row>
    <row r="11" spans="1:7" x14ac:dyDescent="0.25">
      <c r="A11" s="1"/>
      <c r="B11" s="95" t="s">
        <v>173</v>
      </c>
      <c r="C11" s="96"/>
      <c r="D11" s="97"/>
      <c r="E11" s="8">
        <v>2918547.2149648368</v>
      </c>
      <c r="F11" s="12" t="s">
        <v>3</v>
      </c>
      <c r="G11" s="1"/>
    </row>
    <row r="12" spans="1:7" x14ac:dyDescent="0.25">
      <c r="A12" s="1"/>
      <c r="B12" s="59"/>
      <c r="C12" s="22"/>
      <c r="D12" s="22"/>
      <c r="E12" s="22"/>
      <c r="F12" s="60"/>
      <c r="G12" s="1"/>
    </row>
    <row r="13" spans="1:7" ht="53.25" customHeight="1" x14ac:dyDescent="0.25">
      <c r="A13" s="1"/>
      <c r="B13" s="98" t="s">
        <v>174</v>
      </c>
      <c r="C13" s="99"/>
      <c r="D13" s="99"/>
      <c r="E13" s="99"/>
      <c r="F13" s="100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175</v>
      </c>
      <c r="C15" s="93"/>
      <c r="D15" s="93"/>
      <c r="E15" s="93"/>
      <c r="F15" s="94"/>
      <c r="G15" s="1"/>
    </row>
    <row r="16" spans="1:7" x14ac:dyDescent="0.25">
      <c r="A16" s="1"/>
      <c r="B16" s="95" t="s">
        <v>176</v>
      </c>
      <c r="C16" s="96"/>
      <c r="D16" s="97"/>
      <c r="E16" s="8">
        <v>0</v>
      </c>
      <c r="F16" s="12" t="s">
        <v>3</v>
      </c>
      <c r="G16" s="1"/>
    </row>
    <row r="17" spans="1:7" x14ac:dyDescent="0.25">
      <c r="A17" s="1"/>
      <c r="B17" s="95" t="s">
        <v>177</v>
      </c>
      <c r="C17" s="96"/>
      <c r="D17" s="97"/>
      <c r="E17" s="8">
        <v>0</v>
      </c>
      <c r="F17" s="12" t="s">
        <v>3</v>
      </c>
      <c r="G17" s="1"/>
    </row>
    <row r="18" spans="1:7" x14ac:dyDescent="0.25">
      <c r="A18" s="1"/>
      <c r="B18" s="95" t="s">
        <v>178</v>
      </c>
      <c r="C18" s="96"/>
      <c r="D18" s="97"/>
      <c r="E18" s="8">
        <v>0</v>
      </c>
      <c r="F18" s="12" t="s">
        <v>3</v>
      </c>
      <c r="G18" s="1"/>
    </row>
    <row r="19" spans="1:7" x14ac:dyDescent="0.25">
      <c r="A19" s="1"/>
      <c r="B19" s="59"/>
      <c r="C19" s="22"/>
      <c r="D19" s="22"/>
      <c r="E19" s="22"/>
      <c r="F19" s="60"/>
      <c r="G19" s="1"/>
    </row>
    <row r="20" spans="1:7" ht="31.5" customHeight="1" x14ac:dyDescent="0.25">
      <c r="A20" s="1"/>
      <c r="B20" s="98" t="s">
        <v>179</v>
      </c>
      <c r="C20" s="99"/>
      <c r="D20" s="99"/>
      <c r="E20" s="99"/>
      <c r="F20" s="10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9" t="s">
        <v>152</v>
      </c>
      <c r="C22" s="50"/>
      <c r="D22" s="50"/>
      <c r="E22" s="50"/>
      <c r="F22" s="51"/>
      <c r="G22" s="1"/>
    </row>
    <row r="23" spans="1:7" x14ac:dyDescent="0.25">
      <c r="A23" s="1"/>
      <c r="B23" s="52" t="s">
        <v>153</v>
      </c>
      <c r="C23" s="53"/>
      <c r="D23" s="54"/>
      <c r="E23" s="8">
        <v>15520561.881028274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16170910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4" t="s">
        <v>155</v>
      </c>
      <c r="C26" s="45"/>
      <c r="D26" s="46"/>
      <c r="E26" s="36">
        <f>E23-(E24-E25)</f>
        <v>-650348.11897172593</v>
      </c>
      <c r="F26" s="15" t="s">
        <v>3</v>
      </c>
      <c r="G26" s="1"/>
    </row>
    <row r="27" spans="1:7" x14ac:dyDescent="0.25">
      <c r="A27" s="1"/>
      <c r="B27" s="59"/>
      <c r="C27" s="22"/>
      <c r="D27" s="22"/>
      <c r="E27" s="22"/>
      <c r="F27" s="6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180</v>
      </c>
      <c r="C29" s="93"/>
      <c r="D29" s="93"/>
      <c r="E29" s="93"/>
      <c r="F29" s="94"/>
      <c r="G29" s="1"/>
    </row>
    <row r="30" spans="1:7" x14ac:dyDescent="0.25">
      <c r="A30" s="1"/>
      <c r="B30" s="87" t="s">
        <v>181</v>
      </c>
      <c r="C30" s="88"/>
      <c r="D30" s="89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7" t="s">
        <v>182</v>
      </c>
      <c r="C31" s="88"/>
      <c r="D31" s="89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2"/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2" t="s">
        <v>183</v>
      </c>
      <c r="C34" s="93"/>
      <c r="D34" s="93"/>
      <c r="E34" s="93"/>
      <c r="F34" s="94"/>
      <c r="G34" s="1"/>
    </row>
    <row r="35" spans="1:7" x14ac:dyDescent="0.25">
      <c r="A35" s="1"/>
      <c r="B35" s="104" t="s">
        <v>105</v>
      </c>
      <c r="C35" s="105"/>
      <c r="D35" s="106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104" t="s">
        <v>68</v>
      </c>
      <c r="C36" s="105"/>
      <c r="D36" s="106"/>
      <c r="E36" s="8">
        <v>4</v>
      </c>
      <c r="F36" s="12" t="s">
        <v>20</v>
      </c>
      <c r="G36" s="1"/>
    </row>
    <row r="37" spans="1:7" x14ac:dyDescent="0.25">
      <c r="A37" s="1"/>
      <c r="B37" s="107" t="s">
        <v>184</v>
      </c>
      <c r="C37" s="107"/>
      <c r="D37" s="107"/>
      <c r="E37" s="9">
        <f>E35/E36</f>
        <v>0</v>
      </c>
      <c r="F37" s="15" t="s">
        <v>3</v>
      </c>
      <c r="G37" s="1"/>
    </row>
    <row r="38" spans="1:7" x14ac:dyDescent="0.25">
      <c r="A38" s="1"/>
      <c r="B38" s="101"/>
      <c r="C38" s="102"/>
      <c r="D38" s="102"/>
      <c r="E38" s="102"/>
      <c r="F38" s="103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mw7KLSq/12i+GwCVlnmMmRApK6mO/eF9daedFd5zbNpD7HafavH+EjsYK6sQ0beBFNJDAif/sC28Zds72kKsRA==" saltValue="LnIDqkURwEjDzw6YvUyoFw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29:F29"/>
    <mergeCell ref="B30:D30"/>
    <mergeCell ref="B32:F32"/>
    <mergeCell ref="B34:F34"/>
    <mergeCell ref="B38:F38"/>
    <mergeCell ref="B36:D36"/>
    <mergeCell ref="B37:D37"/>
    <mergeCell ref="B35:D35"/>
    <mergeCell ref="B31:D31"/>
    <mergeCell ref="B3:F4"/>
    <mergeCell ref="B16:D16"/>
    <mergeCell ref="B20:F20"/>
    <mergeCell ref="B17:D17"/>
    <mergeCell ref="B18:D18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130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131</v>
      </c>
      <c r="C9" s="108"/>
      <c r="D9" s="108"/>
      <c r="E9" s="108"/>
      <c r="F9" s="108"/>
      <c r="G9" s="1"/>
    </row>
    <row r="10" spans="1:7" x14ac:dyDescent="0.25">
      <c r="A10" s="1"/>
      <c r="B10" s="78" t="s">
        <v>63</v>
      </c>
      <c r="C10" s="78"/>
      <c r="D10" s="78"/>
      <c r="E10" s="7">
        <v>826211.95206980198</v>
      </c>
      <c r="F10" s="48" t="s">
        <v>3</v>
      </c>
      <c r="G10" s="1"/>
    </row>
    <row r="11" spans="1:7" x14ac:dyDescent="0.25">
      <c r="A11" s="1"/>
      <c r="B11" s="109" t="s">
        <v>132</v>
      </c>
      <c r="C11" s="109"/>
      <c r="D11" s="109"/>
      <c r="E11" s="7">
        <v>0</v>
      </c>
      <c r="F11" s="48" t="s">
        <v>3</v>
      </c>
      <c r="G11" s="1"/>
    </row>
    <row r="12" spans="1:7" x14ac:dyDescent="0.25">
      <c r="A12" s="1"/>
      <c r="B12" s="107" t="s">
        <v>64</v>
      </c>
      <c r="C12" s="107"/>
      <c r="D12" s="107"/>
      <c r="E12" s="9">
        <f>E11-E10</f>
        <v>-826211.95206980198</v>
      </c>
      <c r="F12" s="31" t="s">
        <v>3</v>
      </c>
      <c r="G12" s="1"/>
    </row>
    <row r="13" spans="1:7" x14ac:dyDescent="0.25">
      <c r="A13" s="1"/>
      <c r="B13" s="108" t="s">
        <v>56</v>
      </c>
      <c r="C13" s="108"/>
      <c r="D13" s="108"/>
      <c r="E13" s="108"/>
      <c r="F13" s="108"/>
      <c r="G13" s="1"/>
    </row>
    <row r="14" spans="1:7" x14ac:dyDescent="0.25">
      <c r="A14" s="1"/>
      <c r="B14" s="109" t="s">
        <v>133</v>
      </c>
      <c r="C14" s="109"/>
      <c r="D14" s="109"/>
      <c r="E14" s="8">
        <v>0</v>
      </c>
      <c r="F14" s="48" t="s">
        <v>3</v>
      </c>
      <c r="G14" s="1"/>
    </row>
    <row r="15" spans="1:7" x14ac:dyDescent="0.25">
      <c r="A15" s="1"/>
      <c r="B15" s="109" t="s">
        <v>134</v>
      </c>
      <c r="C15" s="109"/>
      <c r="D15" s="109"/>
      <c r="E15" s="8">
        <v>0</v>
      </c>
      <c r="F15" s="48" t="s">
        <v>3</v>
      </c>
      <c r="G15" s="1"/>
    </row>
    <row r="16" spans="1:7" x14ac:dyDescent="0.25">
      <c r="A16" s="1"/>
      <c r="B16" s="107" t="s">
        <v>64</v>
      </c>
      <c r="C16" s="107"/>
      <c r="D16" s="107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-826211.95206980198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BsguHCyMmR25oEUrzK7W/lXX/FBAouif2c9qXtCaqepeTpinMJA/d/TgicLD9asxY8TaeroMGdOWF24WZ4hbw==" saltValue="dn6qGh2uFxSNJqJMhbz0fg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2021-10-08T12:25:17Z</dcterms:modified>
</cp:coreProperties>
</file>