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Birkerød Vandforsyning Amba (V021)\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E12" i="39" l="1"/>
  <c r="C12" i="39"/>
  <c r="E11" i="29"/>
  <c r="E12" i="29" s="1"/>
  <c r="C14" i="2" s="1"/>
  <c r="C11" i="29"/>
  <c r="J11" i="11"/>
  <c r="H11" i="11"/>
  <c r="C15" i="19"/>
  <c r="C16"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3" i="22" s="1"/>
  <c r="C20" i="22" s="1"/>
  <c r="C12" i="23"/>
  <c r="C8" i="23" l="1"/>
  <c r="C9" i="23" l="1"/>
  <c r="C10" i="23" s="1"/>
  <c r="C13" i="23" s="1"/>
  <c r="C20" i="23" s="1"/>
</calcChain>
</file>

<file path=xl/sharedStrings.xml><?xml version="1.0" encoding="utf-8"?>
<sst xmlns="http://schemas.openxmlformats.org/spreadsheetml/2006/main" count="511" uniqueCount="254">
  <si>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</si>
  <si>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</si>
  <si>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</si>
  <si>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</si>
  <si>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</si>
  <si>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</si>
  <si>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</si>
  <si>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</si>
  <si>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</si>
  <si>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</si>
  <si>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</si>
  <si>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</si>
  <si>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</si>
  <si>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</si>
  <si>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</si>
  <si>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</si>
  <si>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</si>
  <si>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</si>
  <si>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</si>
  <si>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</si>
  <si>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</si>
  <si>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</si>
  <si>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</si>
  <si>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</si>
  <si>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</si>
  <si>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</si>
  <si>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</si>
  <si>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</si>
  <si>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</si>
  <si>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</si>
  <si>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</si>
  <si>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</si>
  <si>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</si>
  <si>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</si>
  <si>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</si>
  <si>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</si>
  <si>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</si>
  <si>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</si>
  <si>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</si>
  <si>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</si>
  <si>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</si>
  <si>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</si>
  <si>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</si>
  <si>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</si>
  <si>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</si>
  <si>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</si>
  <si>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</si>
  <si>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</si>
  <si>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</si>
  <si>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</si>
  <si>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</si>
  <si>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</si>
  <si>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</si>
  <si>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</si>
  <si>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</si>
  <si>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</si>
  <si>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</si>
  <si>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</si>
  <si>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</si>
  <si>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</si>
  <si>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</si>
  <si>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</si>
  <si>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</si>
  <si>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</si>
  <si>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</si>
  <si>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</si>
  <si>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</si>
  <si>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</si>
  <si>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</si>
  <si>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</si>
  <si>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</si>
  <si>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</si>
  <si>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</si>
  <si>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</si>
  <si>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</si>
  <si>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</si>
  <si>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</si>
  <si>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</si>
  <si>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</si>
  <si>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</si>
  <si>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</si>
  <si>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</si>
  <si>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</si>
  <si>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</si>
  <si>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</si>
  <si>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</si>
  <si>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</si>
  <si>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</si>
  <si>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</si>
  <si>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</si>
  <si>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</si>
  <si>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</si>
  <si>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</si>
  <si>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</si>
  <si>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</si>
  <si>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</si>
  <si>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</si>
  <si>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</si>
  <si>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</si>
  <si>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</si>
  <si>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</si>
  <si>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</si>
  <si>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</si>
  <si>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</si>
  <si>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</si>
  <si>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</si>
  <si>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</si>
  <si>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</si>
  <si>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</si>
  <si>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</si>
  <si>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</si>
  <si>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</si>
  <si>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</si>
  <si>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</si>
  <si>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</si>
  <si>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</si>
  <si>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</si>
  <si>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</si>
  <si>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</si>
  <si>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</si>
  <si>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</si>
  <si>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</si>
  <si>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</si>
  <si>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</si>
  <si>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</si>
  <si>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</si>
  <si>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</si>
  <si>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</si>
  <si>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</si>
  <si>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</si>
  <si>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</si>
  <si>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</si>
  <si>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</si>
  <si>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</si>
  <si>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</si>
  <si>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</si>
  <si>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</si>
  <si>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</si>
  <si>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</si>
  <si>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</si>
  <si>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</si>
  <si>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</si>
  <si>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</si>
  <si>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</si>
  <si>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</si>
  <si>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</si>
  <si>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</si>
  <si>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</si>
  <si>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</si>
  <si>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</si>
  <si>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</si>
  <si>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</si>
  <si>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</si>
  <si>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</si>
  <si>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</si>
  <si>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</si>
  <si>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</si>
  <si>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</si>
  <si>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</si>
  <si>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</si>
  <si>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</si>
  <si>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</si>
  <si>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</si>
  <si>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</si>
  <si>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</si>
  <si>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</si>
  <si>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</si>
  <si>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</si>
  <si>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</si>
  <si>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</si>
  <si>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</si>
  <si>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</si>
  <si>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</si>
  <si>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</si>
  <si>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</si>
  <si>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</si>
  <si>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</si>
  <si>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</si>
  <si>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</si>
  <si>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</si>
  <si>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</si>
  <si>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</si>
  <si>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</si>
  <si>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</si>
  <si>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</si>
  <si>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</si>
  <si>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</si>
  <si>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</si>
  <si>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</si>
  <si>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</si>
  <si>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</si>
  <si>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</si>
  <si>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</si>
  <si>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</si>
  <si>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</si>
  <si>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</si>
  <si>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</si>
  <si>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</si>
  <si>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</si>
  <si>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</si>
  <si>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</si>
  <si>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</si>
  <si>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</si>
  <si>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</si>
  <si>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</si>
  <si>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</si>
  <si>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</si>
  <si>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</si>
  <si>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</si>
  <si>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</si>
  <si>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</si>
  <si>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</si>
  <si>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</si>
  <si>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</si>
  <si>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</si>
  <si>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</si>
  <si>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</si>
  <si>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</si>
  <si>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</si>
  <si>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</si>
  <si>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</si>
  <si>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</si>
  <si>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</si>
  <si>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</si>
  <si>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</si>
  <si>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</si>
  <si>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</si>
  <si>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</si>
  <si>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</si>
  <si>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</si>
  <si>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projekter</t>
  </si>
  <si>
    <t>Afgift for ledningsført vand</t>
  </si>
  <si>
    <t>Afgift til Forsyningssekretariatet</t>
  </si>
  <si>
    <t>Køb af ydelser og produkter fra andre vandselskaber reguleret af vandsektorloven</t>
  </si>
  <si>
    <t>Ejendomsskat</t>
  </si>
  <si>
    <t>Erstatninger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</si>
  <si>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</si>
  <si>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</si>
  <si>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</si>
  <si>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</si>
  <si>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</si>
  <si>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</si>
  <si>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</si>
  <si>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</si>
  <si>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</si>
  <si>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</si>
  <si>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</si>
  <si>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</si>
  <si>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</si>
  <si>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</si>
  <si>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</si>
  <si>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</si>
  <si>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Sikring af rentvandstank</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</si>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</sst>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8" borderId="2" xfId="0" applyFont="1" applyFill="1" applyBorder="1" applyAlignment="1" applyProtection="1">
      <alignment wrapText="1"/>
    </xf>
    <xf numFmtId="0" fontId="8" fillId="4" borderId="1" xfId="0" applyFont="1" applyFill="1" applyBorder="1" applyAlignment="1" applyProtection="1">
      <alignment horizontal="righ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7" t="s">
        <v>4</v>
      </c>
      <c r="E6" s="87"/>
      <c r="F6" s="87"/>
      <c r="G6" s="87"/>
      <c r="H6" s="3"/>
      <c r="I6" s="1"/>
    </row>
    <row r="7" spans="1:9" ht="15" customHeight="1" x14ac:dyDescent="0.25">
      <c r="A7" s="1"/>
      <c r="B7" s="1"/>
      <c r="C7" s="3"/>
      <c r="D7" s="87"/>
      <c r="E7" s="87"/>
      <c r="F7" s="87"/>
      <c r="G7" s="87"/>
      <c r="H7" s="3"/>
      <c r="I7" s="1"/>
    </row>
    <row r="8" spans="1:9" ht="15.75" x14ac:dyDescent="0.25">
      <c r="A8" s="1"/>
      <c r="B8" s="1"/>
      <c r="C8" s="4"/>
      <c r="D8" s="92" t="s">
        <v>194</v>
      </c>
      <c r="E8" s="92"/>
      <c r="F8" s="92"/>
      <c r="G8" s="92"/>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1" t="s">
        <v>5</v>
      </c>
      <c r="E11" s="91"/>
      <c r="F11" s="91"/>
      <c r="G11" s="91"/>
      <c r="H11" s="5"/>
      <c r="I11" s="1"/>
    </row>
    <row r="12" spans="1:9" x14ac:dyDescent="0.25">
      <c r="A12" s="1"/>
      <c r="B12" s="1"/>
      <c r="C12" s="1"/>
      <c r="D12" s="1"/>
      <c r="E12" s="1"/>
      <c r="F12" s="1"/>
      <c r="G12" s="1"/>
      <c r="H12" s="1"/>
      <c r="I12" s="1"/>
    </row>
    <row r="13" spans="1:9" x14ac:dyDescent="0.25">
      <c r="A13" s="1"/>
      <c r="B13" s="1"/>
      <c r="C13" s="6" t="s">
        <v>6</v>
      </c>
      <c r="D13" s="84" t="s">
        <v>161</v>
      </c>
      <c r="E13" s="85"/>
      <c r="F13" s="85"/>
      <c r="G13" s="86"/>
      <c r="H13" s="1"/>
      <c r="I13" s="1"/>
    </row>
    <row r="14" spans="1:9" x14ac:dyDescent="0.25">
      <c r="A14" s="1"/>
      <c r="B14" s="1"/>
      <c r="C14" s="6" t="s">
        <v>14</v>
      </c>
      <c r="D14" s="84" t="s">
        <v>204</v>
      </c>
      <c r="E14" s="85"/>
      <c r="F14" s="85"/>
      <c r="G14" s="86"/>
      <c r="H14" s="1"/>
      <c r="I14" s="1"/>
    </row>
    <row r="15" spans="1:9" x14ac:dyDescent="0.25">
      <c r="A15" s="1"/>
      <c r="B15" s="1"/>
      <c r="C15" s="6" t="s">
        <v>32</v>
      </c>
      <c r="D15" s="84" t="s">
        <v>137</v>
      </c>
      <c r="E15" s="85"/>
      <c r="F15" s="85"/>
      <c r="G15" s="86"/>
      <c r="H15" s="1"/>
      <c r="I15" s="1"/>
    </row>
    <row r="16" spans="1:9" x14ac:dyDescent="0.25">
      <c r="A16" s="1"/>
      <c r="B16" s="1"/>
      <c r="C16" s="6" t="s">
        <v>33</v>
      </c>
      <c r="D16" s="84" t="s">
        <v>162</v>
      </c>
      <c r="E16" s="85"/>
      <c r="F16" s="85"/>
      <c r="G16" s="86"/>
      <c r="H16" s="1"/>
      <c r="I16" s="1"/>
    </row>
    <row r="17" spans="1:9" x14ac:dyDescent="0.25">
      <c r="A17" s="1"/>
      <c r="B17" s="1"/>
      <c r="C17" s="6" t="s">
        <v>110</v>
      </c>
      <c r="D17" s="84" t="s">
        <v>163</v>
      </c>
      <c r="E17" s="85"/>
      <c r="F17" s="85"/>
      <c r="G17" s="86"/>
      <c r="H17" s="1"/>
      <c r="I17" s="1"/>
    </row>
    <row r="18" spans="1:9" x14ac:dyDescent="0.25">
      <c r="A18" s="1"/>
      <c r="B18" s="1"/>
      <c r="C18" s="6" t="s">
        <v>94</v>
      </c>
      <c r="D18" s="93" t="s">
        <v>86</v>
      </c>
      <c r="E18" s="94"/>
      <c r="F18" s="94"/>
      <c r="G18" s="95"/>
      <c r="H18" s="1"/>
      <c r="I18" s="1"/>
    </row>
    <row r="19" spans="1:9" x14ac:dyDescent="0.25">
      <c r="A19" s="1"/>
      <c r="B19" s="1"/>
      <c r="C19" s="6" t="s">
        <v>95</v>
      </c>
      <c r="D19" s="93" t="s">
        <v>87</v>
      </c>
      <c r="E19" s="94"/>
      <c r="F19" s="94"/>
      <c r="G19" s="95"/>
      <c r="H19" s="1"/>
      <c r="I19" s="1"/>
    </row>
    <row r="20" spans="1:9" x14ac:dyDescent="0.25">
      <c r="A20" s="1"/>
      <c r="B20" s="1"/>
      <c r="C20" s="6" t="s">
        <v>7</v>
      </c>
      <c r="D20" s="93" t="s">
        <v>9</v>
      </c>
      <c r="E20" s="94"/>
      <c r="F20" s="94"/>
      <c r="G20" s="95"/>
      <c r="H20" s="1"/>
      <c r="I20" s="1"/>
    </row>
    <row r="21" spans="1:9" x14ac:dyDescent="0.25">
      <c r="A21" s="1"/>
      <c r="B21" s="1"/>
      <c r="C21" s="6" t="s">
        <v>96</v>
      </c>
      <c r="D21" s="99" t="s">
        <v>11</v>
      </c>
      <c r="E21" s="100"/>
      <c r="F21" s="100"/>
      <c r="G21" s="101"/>
      <c r="H21" s="1"/>
      <c r="I21" s="1"/>
    </row>
    <row r="22" spans="1:9" x14ac:dyDescent="0.25">
      <c r="A22" s="1"/>
      <c r="B22" s="1"/>
      <c r="C22" s="6" t="s">
        <v>78</v>
      </c>
      <c r="D22" s="88" t="s">
        <v>164</v>
      </c>
      <c r="E22" s="89"/>
      <c r="F22" s="89"/>
      <c r="G22" s="90"/>
      <c r="H22" s="1"/>
      <c r="I22" s="1"/>
    </row>
    <row r="23" spans="1:9" x14ac:dyDescent="0.25">
      <c r="A23" s="1"/>
      <c r="B23" s="1"/>
      <c r="C23" s="6" t="s">
        <v>8</v>
      </c>
      <c r="D23" s="88" t="s">
        <v>219</v>
      </c>
      <c r="E23" s="89"/>
      <c r="F23" s="89"/>
      <c r="G23" s="90"/>
      <c r="H23" s="1"/>
      <c r="I23" s="1"/>
    </row>
    <row r="24" spans="1:9" x14ac:dyDescent="0.25">
      <c r="A24" s="1"/>
      <c r="B24" s="1"/>
      <c r="C24" s="6" t="s">
        <v>215</v>
      </c>
      <c r="D24" s="88" t="s">
        <v>205</v>
      </c>
      <c r="E24" s="89"/>
      <c r="F24" s="89"/>
      <c r="G24" s="90"/>
      <c r="H24" s="1"/>
      <c r="I24" s="1"/>
    </row>
    <row r="25" spans="1:9" x14ac:dyDescent="0.25">
      <c r="A25" s="1"/>
      <c r="B25" s="1"/>
      <c r="C25" s="6" t="s">
        <v>216</v>
      </c>
      <c r="D25" s="88" t="s">
        <v>79</v>
      </c>
      <c r="E25" s="89"/>
      <c r="F25" s="89"/>
      <c r="G25" s="90"/>
      <c r="H25" s="1"/>
      <c r="I25" s="1"/>
    </row>
    <row r="26" spans="1:9" x14ac:dyDescent="0.25">
      <c r="A26" s="1"/>
      <c r="B26" s="1"/>
      <c r="C26" s="6" t="s">
        <v>217</v>
      </c>
      <c r="D26" s="88" t="s">
        <v>80</v>
      </c>
      <c r="E26" s="89"/>
      <c r="F26" s="89"/>
      <c r="G26" s="90"/>
      <c r="H26" s="1"/>
      <c r="I26" s="1"/>
    </row>
    <row r="27" spans="1:9" x14ac:dyDescent="0.25">
      <c r="A27" s="1"/>
      <c r="B27" s="1"/>
      <c r="C27" s="6" t="s">
        <v>97</v>
      </c>
      <c r="D27" s="88" t="s">
        <v>111</v>
      </c>
      <c r="E27" s="89"/>
      <c r="F27" s="89"/>
      <c r="G27" s="90"/>
      <c r="H27" s="1"/>
      <c r="I27" s="1"/>
    </row>
    <row r="28" spans="1:9" x14ac:dyDescent="0.25">
      <c r="A28" s="1"/>
      <c r="B28" s="1"/>
      <c r="C28" s="6" t="s">
        <v>91</v>
      </c>
      <c r="D28" s="88" t="s">
        <v>34</v>
      </c>
      <c r="E28" s="89"/>
      <c r="F28" s="89"/>
      <c r="G28" s="90"/>
      <c r="H28" s="1"/>
      <c r="I28" s="1"/>
    </row>
    <row r="29" spans="1:9" x14ac:dyDescent="0.25">
      <c r="A29" s="1"/>
      <c r="B29" s="1"/>
      <c r="C29" s="6" t="s">
        <v>218</v>
      </c>
      <c r="D29" s="96" t="s">
        <v>92</v>
      </c>
      <c r="E29" s="97"/>
      <c r="F29" s="97"/>
      <c r="G29" s="98"/>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eMOXQuWANFZSca1rB5RTayNsZTrh9rpaxV/oQwufEGcWV4ziQ/DxvoYH0shfwj2kAvpKRVJ9l4MkdEOqhL8PNQ==" saltValue="hHEgV9W0bIXUFVYIq2kOoA=="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6.140625" style="2" customWidth="1"/>
    <col min="2" max="2" width="45.85546875" style="2" customWidth="1"/>
    <col min="3" max="3" width="16.85546875" style="2" customWidth="1"/>
    <col min="4" max="4" width="3.28515625" style="2" customWidth="1"/>
    <col min="5" max="5" width="4.570312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2" t="s">
        <v>100</v>
      </c>
      <c r="C3" s="102"/>
      <c r="D3" s="102"/>
      <c r="E3" s="1"/>
      <c r="F3" s="1"/>
    </row>
    <row r="4" spans="1:6" ht="15" customHeight="1" x14ac:dyDescent="0.25">
      <c r="A4" s="1"/>
      <c r="B4" s="102"/>
      <c r="C4" s="102"/>
      <c r="D4" s="102"/>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1" t="s">
        <v>181</v>
      </c>
      <c r="C8" s="122"/>
      <c r="D8" s="123"/>
      <c r="E8" s="1"/>
      <c r="F8" s="1"/>
    </row>
    <row r="9" spans="1:6" ht="15" customHeight="1" x14ac:dyDescent="0.25">
      <c r="A9" s="1"/>
      <c r="B9" s="33" t="s">
        <v>30</v>
      </c>
      <c r="C9" s="83" t="s">
        <v>212</v>
      </c>
      <c r="D9" s="11"/>
      <c r="E9" s="1"/>
      <c r="F9" s="1"/>
    </row>
    <row r="10" spans="1:6" x14ac:dyDescent="0.25">
      <c r="A10" s="1"/>
      <c r="B10" s="79" t="s">
        <v>231</v>
      </c>
      <c r="C10" s="9">
        <v>7586820</v>
      </c>
      <c r="D10" s="14" t="s">
        <v>3</v>
      </c>
      <c r="E10" s="1"/>
      <c r="F10" s="1"/>
    </row>
    <row r="11" spans="1:6" x14ac:dyDescent="0.25">
      <c r="A11" s="1"/>
      <c r="B11" s="79" t="s">
        <v>232</v>
      </c>
      <c r="C11" s="9">
        <v>80922</v>
      </c>
      <c r="D11" s="14" t="s">
        <v>3</v>
      </c>
      <c r="E11" s="1"/>
      <c r="F11" s="1"/>
    </row>
    <row r="12" spans="1:6" ht="26.25" x14ac:dyDescent="0.25">
      <c r="A12" s="1"/>
      <c r="B12" s="82" t="s">
        <v>233</v>
      </c>
      <c r="C12" s="9">
        <v>51767.519999999997</v>
      </c>
      <c r="D12" s="14" t="s">
        <v>3</v>
      </c>
      <c r="E12" s="1"/>
      <c r="F12" s="1"/>
    </row>
    <row r="13" spans="1:6" x14ac:dyDescent="0.25">
      <c r="A13" s="1"/>
      <c r="B13" s="79" t="s">
        <v>234</v>
      </c>
      <c r="C13" s="9">
        <v>28829.99</v>
      </c>
      <c r="D13" s="14" t="s">
        <v>3</v>
      </c>
      <c r="E13" s="1"/>
      <c r="F13" s="1"/>
    </row>
    <row r="14" spans="1:6" x14ac:dyDescent="0.25">
      <c r="A14" s="1"/>
      <c r="B14" s="79" t="s">
        <v>235</v>
      </c>
      <c r="C14" s="9">
        <v>29690.84</v>
      </c>
      <c r="D14" s="14" t="s">
        <v>3</v>
      </c>
      <c r="E14" s="1"/>
      <c r="F14" s="1"/>
    </row>
    <row r="15" spans="1:6" x14ac:dyDescent="0.25">
      <c r="A15" s="1"/>
      <c r="B15" s="67" t="s">
        <v>182</v>
      </c>
      <c r="C15" s="12">
        <f>SUM(C10:C14)</f>
        <v>7778030.3499999996</v>
      </c>
      <c r="D15" s="13" t="s">
        <v>3</v>
      </c>
      <c r="E15" s="1"/>
      <c r="F15" s="1"/>
    </row>
    <row r="16" spans="1:6" x14ac:dyDescent="0.25">
      <c r="A16" s="1"/>
      <c r="B16" s="67" t="s">
        <v>183</v>
      </c>
      <c r="C16" s="12">
        <f>C15*(1+'Fane 13. Nøgletal'!C15)^2</f>
        <v>8341683.6754643759</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zR8J8str50fFPO1fpoMuSsUOxZC86lQcCC77kgj4ew2h4dW2tTR747Hh2SHK7zP7Q676GdvKztuz0HJp5AB2WQ==" saltValue="7d3y6q/msw8MK7dwDiw9t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184</v>
      </c>
      <c r="C3" s="124"/>
      <c r="D3" s="124"/>
      <c r="E3" s="124"/>
      <c r="F3" s="124"/>
      <c r="G3" s="1"/>
    </row>
    <row r="4" spans="1:7" ht="15" customHeight="1" x14ac:dyDescent="0.25">
      <c r="A4" s="1"/>
      <c r="B4" s="124"/>
      <c r="C4" s="124"/>
      <c r="D4" s="124"/>
      <c r="E4" s="124"/>
      <c r="F4" s="124"/>
      <c r="G4" s="1"/>
    </row>
    <row r="5" spans="1:7" ht="15" customHeight="1" x14ac:dyDescent="0.25">
      <c r="A5" s="1"/>
      <c r="B5" s="74"/>
      <c r="C5" s="74"/>
      <c r="D5" s="74"/>
      <c r="E5" s="74"/>
      <c r="F5" s="74"/>
      <c r="G5" s="1"/>
    </row>
    <row r="6" spans="1:7" ht="15" customHeight="1" x14ac:dyDescent="0.25">
      <c r="A6" s="1"/>
      <c r="B6" s="74"/>
      <c r="C6" s="74"/>
      <c r="D6" s="74"/>
      <c r="E6" s="74"/>
      <c r="F6" s="74"/>
      <c r="G6" s="1"/>
    </row>
    <row r="7" spans="1:7" x14ac:dyDescent="0.25">
      <c r="A7" s="1"/>
      <c r="B7" s="1"/>
      <c r="C7" s="1"/>
      <c r="D7" s="1"/>
      <c r="E7" s="1"/>
      <c r="F7" s="1"/>
      <c r="G7" s="1"/>
    </row>
    <row r="8" spans="1:7" x14ac:dyDescent="0.25">
      <c r="A8" s="1"/>
      <c r="B8" s="121" t="s">
        <v>155</v>
      </c>
      <c r="C8" s="122"/>
      <c r="D8" s="122"/>
      <c r="E8" s="122"/>
      <c r="F8" s="123"/>
      <c r="G8" s="1"/>
    </row>
    <row r="9" spans="1:7" x14ac:dyDescent="0.25">
      <c r="A9" s="1"/>
      <c r="B9" s="128" t="s">
        <v>156</v>
      </c>
      <c r="C9" s="129"/>
      <c r="D9" s="130"/>
      <c r="E9" s="9">
        <v>-708094</v>
      </c>
      <c r="F9" s="14" t="s">
        <v>3</v>
      </c>
      <c r="G9" s="1"/>
    </row>
    <row r="10" spans="1:7" x14ac:dyDescent="0.25">
      <c r="A10" s="1"/>
      <c r="B10" s="143" t="s">
        <v>236</v>
      </c>
      <c r="C10" s="144"/>
      <c r="D10" s="145"/>
      <c r="E10" s="9">
        <v>-708094</v>
      </c>
      <c r="F10" s="54" t="s">
        <v>3</v>
      </c>
      <c r="G10" s="1"/>
    </row>
    <row r="11" spans="1:7" x14ac:dyDescent="0.25">
      <c r="A11" s="1"/>
      <c r="B11" s="128" t="s">
        <v>185</v>
      </c>
      <c r="C11" s="129"/>
      <c r="D11" s="130"/>
      <c r="E11" s="9">
        <v>3361132.9706150144</v>
      </c>
      <c r="F11" s="14" t="s">
        <v>3</v>
      </c>
      <c r="G11" s="1"/>
    </row>
    <row r="12" spans="1:7" x14ac:dyDescent="0.25">
      <c r="A12" s="1"/>
      <c r="B12" s="67"/>
      <c r="C12" s="68"/>
      <c r="D12" s="68"/>
      <c r="E12" s="68"/>
      <c r="F12" s="19"/>
      <c r="G12" s="1"/>
    </row>
    <row r="13" spans="1:7" ht="64.900000000000006" customHeight="1" x14ac:dyDescent="0.25">
      <c r="A13" s="1"/>
      <c r="B13" s="104" t="s">
        <v>251</v>
      </c>
      <c r="C13" s="105"/>
      <c r="D13" s="105"/>
      <c r="E13" s="105"/>
      <c r="F13" s="106"/>
      <c r="G13" s="1"/>
    </row>
    <row r="14" spans="1:7" ht="27" customHeight="1" x14ac:dyDescent="0.25">
      <c r="A14" s="1"/>
      <c r="B14" s="1"/>
      <c r="C14" s="1"/>
      <c r="D14" s="1"/>
      <c r="E14" s="1"/>
      <c r="F14" s="1"/>
      <c r="G14" s="1"/>
    </row>
    <row r="15" spans="1:7" ht="28.5" customHeight="1" x14ac:dyDescent="0.25">
      <c r="A15" s="1"/>
      <c r="B15" s="121" t="s">
        <v>157</v>
      </c>
      <c r="C15" s="122"/>
      <c r="D15" s="122"/>
      <c r="E15" s="122"/>
      <c r="F15" s="123"/>
      <c r="G15" s="1"/>
    </row>
    <row r="16" spans="1:7" x14ac:dyDescent="0.25">
      <c r="A16" s="1"/>
      <c r="B16" s="128" t="s">
        <v>237</v>
      </c>
      <c r="C16" s="129"/>
      <c r="D16" s="130"/>
      <c r="E16" s="9">
        <v>0</v>
      </c>
      <c r="F16" s="14" t="s">
        <v>3</v>
      </c>
      <c r="G16" s="1"/>
    </row>
    <row r="17" spans="1:7" x14ac:dyDescent="0.25">
      <c r="A17" s="1"/>
      <c r="B17" s="128" t="s">
        <v>238</v>
      </c>
      <c r="C17" s="129"/>
      <c r="D17" s="130"/>
      <c r="E17" s="9">
        <v>0</v>
      </c>
      <c r="F17" s="14" t="s">
        <v>3</v>
      </c>
      <c r="G17" s="1"/>
    </row>
    <row r="18" spans="1:7" x14ac:dyDescent="0.25">
      <c r="A18" s="1"/>
      <c r="B18" s="67"/>
      <c r="C18" s="68"/>
      <c r="D18" s="68"/>
      <c r="E18" s="68"/>
      <c r="F18" s="19"/>
      <c r="G18" s="1"/>
    </row>
    <row r="19" spans="1:7" ht="31.5" customHeight="1" x14ac:dyDescent="0.25">
      <c r="A19" s="1"/>
      <c r="B19" s="104" t="s">
        <v>158</v>
      </c>
      <c r="C19" s="105"/>
      <c r="D19" s="105"/>
      <c r="E19" s="105"/>
      <c r="F19" s="106"/>
      <c r="G19" s="1"/>
    </row>
    <row r="20" spans="1:7" ht="28.5" customHeight="1" x14ac:dyDescent="0.25">
      <c r="A20" s="1"/>
      <c r="B20" s="1"/>
      <c r="C20" s="1"/>
      <c r="D20" s="1"/>
      <c r="E20" s="1"/>
      <c r="F20" s="1"/>
      <c r="G20" s="1"/>
    </row>
    <row r="21" spans="1:7" ht="28.5" customHeight="1" x14ac:dyDescent="0.25">
      <c r="A21" s="1"/>
      <c r="B21" s="71" t="s">
        <v>186</v>
      </c>
      <c r="C21" s="72"/>
      <c r="D21" s="72"/>
      <c r="E21" s="72"/>
      <c r="F21" s="73"/>
      <c r="G21" s="1"/>
    </row>
    <row r="22" spans="1:7" x14ac:dyDescent="0.25">
      <c r="A22" s="1"/>
      <c r="B22" s="76" t="s">
        <v>239</v>
      </c>
      <c r="C22" s="77"/>
      <c r="D22" s="78"/>
      <c r="E22" s="9">
        <v>14717875.864300974</v>
      </c>
      <c r="F22" s="14" t="s">
        <v>3</v>
      </c>
      <c r="G22" s="1"/>
    </row>
    <row r="23" spans="1:7" x14ac:dyDescent="0.25">
      <c r="A23" s="1"/>
      <c r="B23" s="76" t="s">
        <v>187</v>
      </c>
      <c r="C23" s="77"/>
      <c r="D23" s="78"/>
      <c r="E23" s="9">
        <v>19210010</v>
      </c>
      <c r="F23" s="14" t="s">
        <v>3</v>
      </c>
      <c r="G23" s="1"/>
    </row>
    <row r="24" spans="1:7" x14ac:dyDescent="0.25">
      <c r="A24" s="1"/>
      <c r="B24" s="76" t="s">
        <v>31</v>
      </c>
      <c r="C24" s="77"/>
      <c r="D24" s="78"/>
      <c r="E24" s="9">
        <v>0</v>
      </c>
      <c r="F24" s="14" t="s">
        <v>3</v>
      </c>
      <c r="G24" s="1"/>
    </row>
    <row r="25" spans="1:7" x14ac:dyDescent="0.25">
      <c r="A25" s="1"/>
      <c r="B25" s="51" t="s">
        <v>253</v>
      </c>
      <c r="C25" s="52"/>
      <c r="D25" s="53"/>
      <c r="E25" s="57">
        <f>E22-(E23-E24)</f>
        <v>-4492134.1356990263</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21" t="s">
        <v>240</v>
      </c>
      <c r="C28" s="122"/>
      <c r="D28" s="122"/>
      <c r="E28" s="122"/>
      <c r="F28" s="123"/>
      <c r="G28" s="1"/>
    </row>
    <row r="29" spans="1:7" x14ac:dyDescent="0.25">
      <c r="A29" s="1"/>
      <c r="B29" s="146" t="s">
        <v>128</v>
      </c>
      <c r="C29" s="147"/>
      <c r="D29" s="148"/>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-1839095.1650840119</v>
      </c>
      <c r="F29" s="14" t="s">
        <v>3</v>
      </c>
      <c r="G29" s="1"/>
    </row>
    <row r="30" spans="1:7" x14ac:dyDescent="0.25">
      <c r="A30" s="1"/>
      <c r="B30" s="146" t="s">
        <v>93</v>
      </c>
      <c r="C30" s="147"/>
      <c r="D30" s="148"/>
      <c r="E30" s="9">
        <v>2</v>
      </c>
      <c r="F30" s="14" t="s">
        <v>18</v>
      </c>
      <c r="G30" s="1"/>
    </row>
    <row r="31" spans="1:7" x14ac:dyDescent="0.25">
      <c r="A31" s="1"/>
      <c r="B31" s="139" t="s">
        <v>127</v>
      </c>
      <c r="C31" s="139"/>
      <c r="D31" s="139"/>
      <c r="E31" s="10">
        <f>E29/E30</f>
        <v>-919547.58254200593</v>
      </c>
      <c r="F31" s="17" t="s">
        <v>3</v>
      </c>
      <c r="G31" s="1"/>
    </row>
    <row r="32" spans="1:7" x14ac:dyDescent="0.25">
      <c r="A32" s="1"/>
      <c r="B32" s="140"/>
      <c r="C32" s="141"/>
      <c r="D32" s="141"/>
      <c r="E32" s="141"/>
      <c r="F32" s="142"/>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e/rS2R+oe1bsh9hrCvNHkAif1SiYry4CnBrVzXyq1p4SKDXlHOw5V3ApTvd/7XlEmvA/Vker2+WWno2wLbvBmw==" saltValue="Xvuvr6BuctdqHS0zcdLkhw=="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2" t="s">
        <v>226</v>
      </c>
      <c r="C3" s="102"/>
      <c r="D3" s="102"/>
      <c r="E3" s="102"/>
      <c r="F3" s="102"/>
      <c r="G3" s="102"/>
      <c r="H3" s="102"/>
      <c r="I3" s="1"/>
    </row>
    <row r="4" spans="1:9" ht="15" customHeight="1" x14ac:dyDescent="0.25">
      <c r="A4" s="1"/>
      <c r="B4" s="102"/>
      <c r="C4" s="102"/>
      <c r="D4" s="102"/>
      <c r="E4" s="102"/>
      <c r="F4" s="102"/>
      <c r="G4" s="102"/>
      <c r="H4" s="102"/>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1" t="s">
        <v>227</v>
      </c>
      <c r="C8" s="122"/>
      <c r="D8" s="122"/>
      <c r="E8" s="122"/>
      <c r="F8" s="122"/>
      <c r="G8" s="122"/>
      <c r="H8" s="123"/>
      <c r="I8" s="1"/>
    </row>
    <row r="9" spans="1:9" ht="15" customHeight="1" x14ac:dyDescent="0.25">
      <c r="A9" s="1"/>
      <c r="B9" s="113" t="s">
        <v>228</v>
      </c>
      <c r="C9" s="114"/>
      <c r="D9" s="114"/>
      <c r="E9" s="114"/>
      <c r="F9" s="114"/>
      <c r="G9" s="114"/>
      <c r="H9" s="115"/>
      <c r="I9" s="1"/>
    </row>
    <row r="10" spans="1:9" x14ac:dyDescent="0.25">
      <c r="A10" s="1"/>
      <c r="B10" s="149" t="s">
        <v>243</v>
      </c>
      <c r="C10" s="150"/>
      <c r="D10" s="150"/>
      <c r="E10" s="150"/>
      <c r="F10" s="151"/>
      <c r="G10" s="56">
        <v>0</v>
      </c>
      <c r="H10" s="9" t="s">
        <v>3</v>
      </c>
      <c r="I10" s="1"/>
    </row>
    <row r="11" spans="1:9" x14ac:dyDescent="0.25">
      <c r="A11" s="1"/>
      <c r="B11" s="149" t="s">
        <v>244</v>
      </c>
      <c r="C11" s="150"/>
      <c r="D11" s="150"/>
      <c r="E11" s="150"/>
      <c r="F11" s="151"/>
      <c r="G11" s="56">
        <v>0</v>
      </c>
      <c r="H11" s="9" t="s">
        <v>3</v>
      </c>
      <c r="I11" s="1"/>
    </row>
    <row r="12" spans="1:9" x14ac:dyDescent="0.25">
      <c r="A12" s="1"/>
      <c r="B12" s="149" t="s">
        <v>245</v>
      </c>
      <c r="C12" s="150"/>
      <c r="D12" s="150"/>
      <c r="E12" s="150"/>
      <c r="F12" s="151"/>
      <c r="G12" s="9">
        <v>0</v>
      </c>
      <c r="H12" s="9" t="s">
        <v>3</v>
      </c>
      <c r="I12" s="1"/>
    </row>
    <row r="13" spans="1:9" x14ac:dyDescent="0.25">
      <c r="A13" s="1"/>
      <c r="B13" s="149" t="s">
        <v>246</v>
      </c>
      <c r="C13" s="150"/>
      <c r="D13" s="150"/>
      <c r="E13" s="150"/>
      <c r="F13" s="151"/>
      <c r="G13" s="9">
        <v>0</v>
      </c>
      <c r="H13" s="9" t="s">
        <v>3</v>
      </c>
      <c r="I13" s="1"/>
    </row>
    <row r="14" spans="1:9" x14ac:dyDescent="0.25">
      <c r="A14" s="1"/>
      <c r="B14" s="149" t="s">
        <v>247</v>
      </c>
      <c r="C14" s="150"/>
      <c r="D14" s="150"/>
      <c r="E14" s="150"/>
      <c r="F14" s="151"/>
      <c r="G14" s="9">
        <v>0</v>
      </c>
      <c r="H14" s="9" t="s">
        <v>3</v>
      </c>
      <c r="I14" s="1"/>
    </row>
    <row r="15" spans="1:9" x14ac:dyDescent="0.25">
      <c r="A15" s="1"/>
      <c r="B15" s="149" t="s">
        <v>248</v>
      </c>
      <c r="C15" s="150"/>
      <c r="D15" s="150"/>
      <c r="E15" s="150"/>
      <c r="F15" s="151"/>
      <c r="G15" s="9">
        <v>0</v>
      </c>
      <c r="H15" s="9" t="s">
        <v>3</v>
      </c>
      <c r="I15" s="1"/>
    </row>
    <row r="16" spans="1:9" x14ac:dyDescent="0.25">
      <c r="A16" s="1"/>
      <c r="B16" s="149" t="s">
        <v>249</v>
      </c>
      <c r="C16" s="150"/>
      <c r="D16" s="150"/>
      <c r="E16" s="150"/>
      <c r="F16" s="151"/>
      <c r="G16" s="9">
        <v>0</v>
      </c>
      <c r="H16" s="9" t="s">
        <v>3</v>
      </c>
      <c r="I16" s="1"/>
    </row>
    <row r="17" spans="1:9" x14ac:dyDescent="0.25">
      <c r="A17" s="1"/>
      <c r="B17" s="149" t="s">
        <v>250</v>
      </c>
      <c r="C17" s="150"/>
      <c r="D17" s="150"/>
      <c r="E17" s="150"/>
      <c r="F17" s="151"/>
      <c r="G17" s="9">
        <v>0</v>
      </c>
      <c r="H17" s="9" t="s">
        <v>3</v>
      </c>
      <c r="I17" s="1"/>
    </row>
    <row r="18" spans="1:9" x14ac:dyDescent="0.25">
      <c r="A18" s="1"/>
      <c r="B18" s="121" t="s">
        <v>229</v>
      </c>
      <c r="C18" s="122"/>
      <c r="D18" s="122"/>
      <c r="E18" s="122"/>
      <c r="F18" s="12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1AJsJsmmyrenZQjbTN28JyhxKesEuYQjBviNZznpzM7RkZCem1ZbP+C0HzDPWQkveNJvqA3C7E07aaws8B7VaA==" saltValue="796YhoeykQy35xwygmPoXg=="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3.85546875" style="2" customWidth="1"/>
    <col min="2" max="2" width="22.7109375" style="2" customWidth="1"/>
    <col min="3" max="3" width="7.28515625" style="2" customWidth="1"/>
    <col min="4" max="4" width="9.28515625" style="2" customWidth="1"/>
    <col min="5" max="5" width="2.7109375" style="2" customWidth="1"/>
    <col min="6" max="6" width="8.28515625" style="2" customWidth="1"/>
    <col min="7" max="7" width="2.7109375" style="2" customWidth="1"/>
    <col min="8" max="8" width="8.28515625" style="2" customWidth="1"/>
    <col min="9" max="9" width="2.7109375" style="2" customWidth="1"/>
    <col min="10" max="10" width="8.28515625"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2" t="s">
        <v>220</v>
      </c>
      <c r="C3" s="102"/>
      <c r="D3" s="102"/>
      <c r="E3" s="102"/>
      <c r="F3" s="102"/>
      <c r="G3" s="102"/>
      <c r="H3" s="102"/>
      <c r="I3" s="102"/>
      <c r="J3" s="102"/>
      <c r="K3" s="102"/>
      <c r="L3" s="1"/>
    </row>
    <row r="4" spans="1:12" ht="15" customHeight="1" x14ac:dyDescent="0.25">
      <c r="A4" s="1"/>
      <c r="B4" s="102"/>
      <c r="C4" s="102"/>
      <c r="D4" s="102"/>
      <c r="E4" s="102"/>
      <c r="F4" s="102"/>
      <c r="G4" s="102"/>
      <c r="H4" s="102"/>
      <c r="I4" s="102"/>
      <c r="J4" s="102"/>
      <c r="K4" s="10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1" t="s">
        <v>192</v>
      </c>
      <c r="C8" s="122"/>
      <c r="D8" s="122"/>
      <c r="E8" s="122"/>
      <c r="F8" s="122"/>
      <c r="G8" s="122"/>
      <c r="H8" s="122"/>
      <c r="I8" s="122"/>
      <c r="J8" s="122"/>
      <c r="K8" s="123"/>
      <c r="L8" s="1"/>
    </row>
    <row r="9" spans="1:12" ht="39.75" customHeight="1" x14ac:dyDescent="0.25">
      <c r="A9" s="1"/>
      <c r="B9" s="18" t="s">
        <v>0</v>
      </c>
      <c r="C9" s="18" t="s">
        <v>1</v>
      </c>
      <c r="D9" s="152" t="s">
        <v>213</v>
      </c>
      <c r="E9" s="153"/>
      <c r="F9" s="152" t="s">
        <v>2</v>
      </c>
      <c r="G9" s="153"/>
      <c r="H9" s="152" t="s">
        <v>214</v>
      </c>
      <c r="I9" s="153"/>
      <c r="J9" s="152" t="s">
        <v>28</v>
      </c>
      <c r="K9" s="153"/>
      <c r="L9" s="1"/>
    </row>
    <row r="10" spans="1:12" x14ac:dyDescent="0.25">
      <c r="A10" s="1"/>
      <c r="B10" s="81" t="s">
        <v>230</v>
      </c>
      <c r="C10" s="29">
        <v>0</v>
      </c>
      <c r="D10" s="9">
        <v>0</v>
      </c>
      <c r="E10" s="14" t="s">
        <v>3</v>
      </c>
      <c r="F10" s="39">
        <v>0</v>
      </c>
      <c r="G10" s="14" t="s">
        <v>3</v>
      </c>
      <c r="H10" s="9">
        <v>0</v>
      </c>
      <c r="I10" s="14" t="s">
        <v>3</v>
      </c>
      <c r="J10" s="9">
        <v>0</v>
      </c>
      <c r="K10" s="14" t="s">
        <v>3</v>
      </c>
      <c r="L10" s="1"/>
    </row>
    <row r="11" spans="1:12" x14ac:dyDescent="0.25">
      <c r="A11" s="1"/>
      <c r="B11" s="67" t="s">
        <v>193</v>
      </c>
      <c r="C11" s="68"/>
      <c r="D11" s="19"/>
      <c r="E11" s="73"/>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6fNgBF76WxsD5t2hDAyfpFeTc3NNph6ZGAN68zMCg7fIocgKpPEc4lQfI4kxfIiIUWQNup7y5DCz6XHrmNDqdA==" saltValue="iZFz8X+ouljFJBQT1wRxt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2" t="s">
        <v>221</v>
      </c>
      <c r="C3" s="102"/>
      <c r="D3" s="102"/>
      <c r="E3" s="102"/>
      <c r="F3" s="102"/>
      <c r="G3" s="1"/>
    </row>
    <row r="4" spans="1:7" ht="15" customHeight="1" x14ac:dyDescent="0.25">
      <c r="A4" s="1"/>
      <c r="B4" s="102"/>
      <c r="C4" s="102"/>
      <c r="D4" s="102"/>
      <c r="E4" s="102"/>
      <c r="F4" s="10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70"/>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252</v>
      </c>
      <c r="C11" s="21">
        <v>0</v>
      </c>
      <c r="D11" s="14" t="s">
        <v>3</v>
      </c>
      <c r="E11" s="9">
        <v>153304</v>
      </c>
      <c r="F11" s="14" t="s">
        <v>3</v>
      </c>
      <c r="G11" s="1"/>
    </row>
    <row r="12" spans="1:7" x14ac:dyDescent="0.25">
      <c r="A12" s="1"/>
      <c r="B12" s="67" t="s">
        <v>148</v>
      </c>
      <c r="C12" s="12">
        <f>SUM(C10:C11)</f>
        <v>0</v>
      </c>
      <c r="D12" s="13" t="s">
        <v>3</v>
      </c>
      <c r="E12" s="12">
        <f>SUM(E10:E11)</f>
        <v>153304</v>
      </c>
      <c r="F12" s="13" t="s">
        <v>3</v>
      </c>
      <c r="G12" s="1"/>
    </row>
    <row r="13" spans="1:7" x14ac:dyDescent="0.25">
      <c r="A13" s="1"/>
      <c r="B13" s="67" t="s">
        <v>188</v>
      </c>
      <c r="C13" s="12">
        <f>C12*(1+'Fane 13. Nøgletal'!C15)</f>
        <v>0</v>
      </c>
      <c r="D13" s="13" t="s">
        <v>3</v>
      </c>
      <c r="E13" s="12">
        <f>E12*(1+'Fane 13. Nøgletal'!C15)</f>
        <v>158761.62240000002</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AmMx250iqQSLlvE96Jh5J012iG9q9iMZ0Z4V1XkeRM5WhGadA4rjvocmQP7RQ0ROuMcAY0tsyjc8RyKEoruxw==" saltValue="t0W0HsdW2SlmiVeac0l6g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2" t="s">
        <v>222</v>
      </c>
      <c r="C3" s="102"/>
      <c r="D3" s="102"/>
      <c r="E3" s="102"/>
      <c r="F3" s="102"/>
      <c r="G3" s="1"/>
    </row>
    <row r="4" spans="1:7" ht="15" customHeight="1" x14ac:dyDescent="0.25">
      <c r="A4" s="1"/>
      <c r="B4" s="102"/>
      <c r="C4" s="102"/>
      <c r="D4" s="102"/>
      <c r="E4" s="102"/>
      <c r="F4" s="10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1" t="s">
        <v>88</v>
      </c>
      <c r="C9" s="122"/>
      <c r="D9" s="122"/>
      <c r="E9" s="122"/>
      <c r="F9" s="123"/>
      <c r="G9" s="1"/>
    </row>
    <row r="10" spans="1:7" ht="26.25" x14ac:dyDescent="0.25">
      <c r="A10" s="1"/>
      <c r="B10" s="65" t="s">
        <v>15</v>
      </c>
      <c r="C10" s="65" t="s">
        <v>10</v>
      </c>
      <c r="D10" s="66"/>
      <c r="E10" s="65" t="s">
        <v>29</v>
      </c>
      <c r="F10" s="70"/>
      <c r="G10" s="1"/>
    </row>
    <row r="11" spans="1:7" x14ac:dyDescent="0.25">
      <c r="A11" s="1"/>
      <c r="B11" s="22" t="s">
        <v>252</v>
      </c>
      <c r="C11" s="21">
        <v>7445</v>
      </c>
      <c r="D11" s="14" t="s">
        <v>3</v>
      </c>
      <c r="E11" s="9">
        <v>0</v>
      </c>
      <c r="F11" s="14" t="s">
        <v>3</v>
      </c>
      <c r="G11" s="1"/>
    </row>
    <row r="12" spans="1:7" x14ac:dyDescent="0.25">
      <c r="A12" s="1"/>
      <c r="B12" s="67" t="s">
        <v>195</v>
      </c>
      <c r="C12" s="12">
        <f>SUM(C11:C11)</f>
        <v>7445</v>
      </c>
      <c r="D12" s="13" t="s">
        <v>3</v>
      </c>
      <c r="E12" s="12">
        <f>SUM(E11:E11)</f>
        <v>0</v>
      </c>
      <c r="F12" s="13" t="s">
        <v>3</v>
      </c>
      <c r="G12" s="1"/>
    </row>
    <row r="13" spans="1:7" x14ac:dyDescent="0.25">
      <c r="A13" s="1"/>
      <c r="B13" s="67" t="s">
        <v>119</v>
      </c>
      <c r="C13" s="12">
        <f>C12*(1+'Fane 13. Nøgletal'!$C$15)^2</f>
        <v>7984.5194952000011</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y+8ARlDIzN0pneI9vFsDgRMVVlZ+FyUSpO0V3Tpb20bfdVjJExZfUwujcb3UUQfJ8cZta9JkzjqOtp8b4owTiA==" saltValue="AB6zedM1PR1KnL3I2ZT1i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223</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1" t="s">
        <v>112</v>
      </c>
      <c r="C8" s="122"/>
      <c r="D8" s="122"/>
      <c r="E8" s="122"/>
      <c r="F8" s="123"/>
      <c r="G8" s="1"/>
    </row>
    <row r="9" spans="1:7" ht="15" customHeight="1" x14ac:dyDescent="0.25">
      <c r="A9" s="1"/>
      <c r="B9" s="69" t="s">
        <v>113</v>
      </c>
      <c r="C9" s="113" t="s">
        <v>10</v>
      </c>
      <c r="D9" s="115"/>
      <c r="E9" s="113" t="s">
        <v>29</v>
      </c>
      <c r="F9" s="115"/>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WwlsXUQtvutQ8ikFC4QIJSzyLuKqLnYf00PG7kn8tHJWi1gNTXL6TY7XA8sRum1sq9JO5t/62gMMnCumNCOS4g==" saltValue="1Wj0YAbM8rvIdWZCcEJST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224</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1" t="s">
        <v>85</v>
      </c>
      <c r="C10" s="122"/>
      <c r="D10" s="122"/>
      <c r="E10" s="122"/>
      <c r="F10" s="123"/>
      <c r="G10" s="1"/>
    </row>
    <row r="11" spans="1:7" ht="26.25" x14ac:dyDescent="0.25">
      <c r="A11" s="1"/>
      <c r="B11" s="69" t="s">
        <v>16</v>
      </c>
      <c r="C11" s="69" t="s">
        <v>10</v>
      </c>
      <c r="D11" s="70"/>
      <c r="E11" s="69" t="s">
        <v>29</v>
      </c>
      <c r="F11" s="70"/>
      <c r="G11" s="1"/>
    </row>
    <row r="12" spans="1:7" x14ac:dyDescent="0.25">
      <c r="A12" s="1"/>
      <c r="B12" s="22" t="s">
        <v>242</v>
      </c>
      <c r="C12" s="9">
        <v>0</v>
      </c>
      <c r="D12" s="14" t="s">
        <v>3</v>
      </c>
      <c r="E12" s="9">
        <v>0</v>
      </c>
      <c r="F12" s="14" t="s">
        <v>3</v>
      </c>
      <c r="G12" s="1"/>
    </row>
    <row r="13" spans="1:7" x14ac:dyDescent="0.25">
      <c r="A13" s="1"/>
      <c r="B13" s="67" t="s">
        <v>196</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iG2NZMuy9dprHtiNSoTA5Ps4mA/b1DlDUM7cdS5fP/9RqGlqzgVhsEM/j5OfQd1A27Fl1C62/3fm8Ak20uqFWA==" saltValue="zAa5/fAaceF+mIrshmh0H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24" t="s">
        <v>225</v>
      </c>
      <c r="C3" s="124"/>
      <c r="D3" s="1"/>
    </row>
    <row r="4" spans="1:4" ht="25.5" customHeight="1" x14ac:dyDescent="0.25">
      <c r="A4" s="1"/>
      <c r="B4" s="124"/>
      <c r="C4" s="124"/>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7"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1"/>
      <c r="C16" s="123"/>
      <c r="D16" s="1"/>
    </row>
    <row r="17" spans="1:4" x14ac:dyDescent="0.25">
      <c r="A17" s="1"/>
      <c r="B17" s="1"/>
      <c r="C17" s="44"/>
      <c r="D17" s="1"/>
    </row>
    <row r="18" spans="1:4" x14ac:dyDescent="0.25">
      <c r="A18" s="1"/>
      <c r="B18" s="1"/>
      <c r="C18" s="44"/>
      <c r="D18" s="1"/>
    </row>
    <row r="19" spans="1:4" x14ac:dyDescent="0.25">
      <c r="A19" s="1"/>
      <c r="B19" s="67"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67"/>
      <c r="C27" s="45"/>
      <c r="D27" s="1"/>
    </row>
    <row r="28" spans="1:4" x14ac:dyDescent="0.25">
      <c r="A28" s="1"/>
      <c r="B28" s="1"/>
      <c r="C28" s="44"/>
      <c r="D28" s="1"/>
    </row>
    <row r="29" spans="1:4" x14ac:dyDescent="0.25">
      <c r="A29" s="1"/>
      <c r="B29" s="1"/>
      <c r="C29" s="44"/>
      <c r="D29" s="1"/>
    </row>
    <row r="30" spans="1:4" x14ac:dyDescent="0.25">
      <c r="A30" s="1"/>
      <c r="B30" s="67" t="s">
        <v>90</v>
      </c>
      <c r="C30" s="45"/>
      <c r="D30" s="1"/>
    </row>
    <row r="31" spans="1:4" x14ac:dyDescent="0.25">
      <c r="A31" s="1"/>
      <c r="B31" s="79" t="s">
        <v>107</v>
      </c>
      <c r="C31" s="46">
        <v>0.02</v>
      </c>
      <c r="D31" s="1"/>
    </row>
    <row r="32" spans="1:4" x14ac:dyDescent="0.25">
      <c r="A32" s="1"/>
      <c r="B32" s="67"/>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sheetData>
  <sheetProtection algorithmName="SHA-512" hashValue="Gfr+9JUXupyvml1pVqV+PfwVF5wfipZCatR5BaFXvP3Wje+XC2Gh+vNFgRokzI6BmHah0KFe2/rf4z6tw9WZSA==" saltValue="mhN7KJ6bqDXKnu+s/O+PEw=="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2" t="s">
        <v>165</v>
      </c>
      <c r="C3" s="102"/>
      <c r="D3" s="102"/>
      <c r="E3" s="1"/>
    </row>
    <row r="4" spans="1:5" ht="15" customHeight="1" x14ac:dyDescent="0.25">
      <c r="A4" s="1"/>
      <c r="B4" s="102"/>
      <c r="C4" s="102"/>
      <c r="D4" s="102"/>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75" t="s">
        <v>116</v>
      </c>
      <c r="C8" s="7">
        <f>'Fane 3. Omkostninger i ØR2022'!E20</f>
        <v>9654377.9241943248</v>
      </c>
      <c r="D8" s="8" t="s">
        <v>3</v>
      </c>
      <c r="E8" s="1"/>
    </row>
    <row r="9" spans="1:5" ht="17.25" customHeight="1" x14ac:dyDescent="0.25">
      <c r="A9" s="1"/>
      <c r="B9" s="23" t="s">
        <v>35</v>
      </c>
      <c r="C9" s="7">
        <f>'Fane 10.1. Varige tillæg'!C13</f>
        <v>0</v>
      </c>
      <c r="D9" s="8" t="s">
        <v>3</v>
      </c>
      <c r="E9" s="1"/>
    </row>
    <row r="10" spans="1:5" ht="17.25" customHeight="1" x14ac:dyDescent="0.25">
      <c r="A10" s="1"/>
      <c r="B10" s="23" t="s">
        <v>36</v>
      </c>
      <c r="C10" s="9">
        <f>'Fane 10.1. Varige tillæg'!E13</f>
        <v>158761.62240000002</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349347.76785875799</v>
      </c>
      <c r="D15" s="8" t="s">
        <v>3</v>
      </c>
      <c r="E15" s="1"/>
    </row>
    <row r="16" spans="1:5" ht="17.25" customHeight="1" x14ac:dyDescent="0.25">
      <c r="A16" s="1"/>
      <c r="B16" s="23" t="s">
        <v>9</v>
      </c>
      <c r="C16" s="9">
        <f>-SUM(C8,C9:C15)*'Fane 5. Individuelt eff. krav'!G9</f>
        <v>0</v>
      </c>
      <c r="D16" s="8" t="s">
        <v>3</v>
      </c>
      <c r="E16" s="1"/>
    </row>
    <row r="17" spans="1:5" ht="17.25" customHeight="1" x14ac:dyDescent="0.25">
      <c r="A17" s="1"/>
      <c r="B17" s="23" t="s">
        <v>23</v>
      </c>
      <c r="C17" s="9">
        <f>-'Fane 4.1. Gen. krav - drift'!G43</f>
        <v>-119732.34019697821</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10042754.974256106</v>
      </c>
      <c r="D19" s="11" t="s">
        <v>3</v>
      </c>
      <c r="E19" s="1"/>
    </row>
    <row r="20" spans="1:5" ht="15" customHeight="1" x14ac:dyDescent="0.25">
      <c r="A20" s="1"/>
      <c r="B20" s="67" t="s">
        <v>11</v>
      </c>
      <c r="C20" s="68"/>
      <c r="D20" s="19"/>
      <c r="E20" s="1"/>
    </row>
    <row r="21" spans="1:5" ht="15" customHeight="1" x14ac:dyDescent="0.25">
      <c r="A21" s="1"/>
      <c r="B21" s="69" t="s">
        <v>11</v>
      </c>
      <c r="C21" s="10">
        <f>'Fane 6. Ikke-påvirkelige omk.'!C16</f>
        <v>8341683.6754643759</v>
      </c>
      <c r="D21" s="11" t="s">
        <v>3</v>
      </c>
      <c r="E21" s="1"/>
    </row>
    <row r="22" spans="1:5" ht="15" customHeight="1" x14ac:dyDescent="0.25">
      <c r="A22" s="1"/>
      <c r="B22" s="67" t="s">
        <v>80</v>
      </c>
      <c r="C22" s="68"/>
      <c r="D22" s="19"/>
      <c r="E22" s="1"/>
    </row>
    <row r="23" spans="1:5" ht="15" customHeight="1" x14ac:dyDescent="0.25">
      <c r="A23" s="1"/>
      <c r="B23" s="23" t="s">
        <v>76</v>
      </c>
      <c r="C23" s="9">
        <f>'Fane 10.2. Engangstillæg'!C13</f>
        <v>7984.5194952000011</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-159.69038990400003</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7824.8291052960012</v>
      </c>
      <c r="D27" s="11" t="s">
        <v>3</v>
      </c>
      <c r="E27" s="1"/>
    </row>
    <row r="28" spans="1:5" ht="15" customHeight="1" x14ac:dyDescent="0.25">
      <c r="A28" s="1"/>
      <c r="B28" s="25" t="s">
        <v>128</v>
      </c>
      <c r="C28" s="68"/>
      <c r="D28" s="19"/>
      <c r="E28" s="1"/>
    </row>
    <row r="29" spans="1:5" x14ac:dyDescent="0.25">
      <c r="A29" s="1"/>
      <c r="B29" s="80" t="s">
        <v>129</v>
      </c>
      <c r="C29" s="10">
        <f>'Fane 7. Kontrol af ØR2021'!E31</f>
        <v>-919547.58254200593</v>
      </c>
      <c r="D29" s="11" t="s">
        <v>3</v>
      </c>
      <c r="E29" s="1"/>
    </row>
    <row r="30" spans="1:5" x14ac:dyDescent="0.25">
      <c r="A30" s="1"/>
      <c r="B30" s="25" t="s">
        <v>153</v>
      </c>
      <c r="C30" s="68"/>
      <c r="D30" s="19"/>
      <c r="E30" s="1"/>
    </row>
    <row r="31" spans="1:5" x14ac:dyDescent="0.25">
      <c r="A31" s="1"/>
      <c r="B31" s="80" t="s">
        <v>154</v>
      </c>
      <c r="C31" s="10">
        <f>'Fane 8. Skattesagen'!G12</f>
        <v>0</v>
      </c>
      <c r="D31" s="11" t="s">
        <v>3</v>
      </c>
      <c r="E31" s="1"/>
    </row>
    <row r="32" spans="1:5" x14ac:dyDescent="0.25">
      <c r="A32" s="1"/>
      <c r="B32" s="67" t="s">
        <v>84</v>
      </c>
      <c r="C32" s="36">
        <f>SUM(C19,C21,C27,C29,C31)</f>
        <v>17472715.896283772</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G96Hzhj6VjjhpJA97+lws/VT8gHs5vB8u2K794xwXBSRcHaPGDgJ7CnPZGNbbkwEX/5/pGI31ebRt18gs8s/ag==" saltValue="LBrKWqF+a06xSaFGt5ddx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2" t="s">
        <v>166</v>
      </c>
      <c r="C3" s="102"/>
      <c r="D3" s="102"/>
      <c r="E3" s="1"/>
    </row>
    <row r="4" spans="1:5" ht="15" customHeight="1" x14ac:dyDescent="0.25">
      <c r="A4" s="1"/>
      <c r="B4" s="102"/>
      <c r="C4" s="102"/>
      <c r="D4" s="102"/>
      <c r="E4" s="1"/>
    </row>
    <row r="5" spans="1:5" x14ac:dyDescent="0.25">
      <c r="A5" s="1"/>
      <c r="B5" s="103"/>
      <c r="C5" s="103"/>
      <c r="D5" s="103"/>
      <c r="E5" s="1"/>
    </row>
    <row r="6" spans="1:5" x14ac:dyDescent="0.25">
      <c r="A6" s="1"/>
      <c r="B6" s="1"/>
      <c r="C6" s="1"/>
      <c r="D6" s="1"/>
      <c r="E6" s="1"/>
    </row>
    <row r="7" spans="1:5" x14ac:dyDescent="0.25">
      <c r="A7" s="1"/>
      <c r="B7" s="67" t="s">
        <v>12</v>
      </c>
      <c r="C7" s="68"/>
      <c r="D7" s="19"/>
      <c r="E7" s="1"/>
    </row>
    <row r="8" spans="1:5" ht="15" customHeight="1" x14ac:dyDescent="0.25">
      <c r="A8" s="1"/>
      <c r="B8" s="75" t="s">
        <v>117</v>
      </c>
      <c r="C8" s="7">
        <f>'Fane 2.1. Økonomisk ramme 2023'!C19</f>
        <v>10042754.974256106</v>
      </c>
      <c r="D8" s="8" t="s">
        <v>3</v>
      </c>
      <c r="E8" s="1"/>
    </row>
    <row r="9" spans="1:5" ht="15" customHeight="1" x14ac:dyDescent="0.25">
      <c r="A9" s="1"/>
      <c r="B9" s="64" t="s">
        <v>17</v>
      </c>
      <c r="C9" s="9">
        <f>SUM(C8:C8)*'Fane 13. Nøgletal'!C15</f>
        <v>357522.07708351733</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drift'!G48</f>
        <v>-121514.91527783083</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10278762.136061791</v>
      </c>
      <c r="D13" s="11" t="s">
        <v>3</v>
      </c>
      <c r="E13" s="1"/>
    </row>
    <row r="14" spans="1:5" x14ac:dyDescent="0.25">
      <c r="A14" s="1"/>
      <c r="B14" s="67" t="s">
        <v>11</v>
      </c>
      <c r="C14" s="68"/>
      <c r="D14" s="19"/>
      <c r="E14" s="1"/>
    </row>
    <row r="15" spans="1:5" ht="15" customHeight="1" x14ac:dyDescent="0.25">
      <c r="A15" s="1"/>
      <c r="B15" s="69" t="s">
        <v>11</v>
      </c>
      <c r="C15" s="10">
        <f>'Fane 6. Ikke-påvirkelige omk.'!C16*(1+'Fane 13. Nøgletal'!C15)</f>
        <v>8638647.6143109091</v>
      </c>
      <c r="D15" s="11" t="s">
        <v>3</v>
      </c>
      <c r="E15" s="1"/>
    </row>
    <row r="16" spans="1:5" x14ac:dyDescent="0.25">
      <c r="A16" s="1"/>
      <c r="B16" s="25" t="s">
        <v>128</v>
      </c>
      <c r="C16" s="68"/>
      <c r="D16" s="19"/>
      <c r="E16" s="1"/>
    </row>
    <row r="17" spans="1:5" ht="15" customHeight="1" x14ac:dyDescent="0.25">
      <c r="A17" s="1"/>
      <c r="B17" s="80" t="s">
        <v>129</v>
      </c>
      <c r="C17" s="10">
        <f>'Fane 7. Kontrol af ØR2021'!E31</f>
        <v>-919547.58254200593</v>
      </c>
      <c r="D17" s="11" t="s">
        <v>3</v>
      </c>
      <c r="E17" s="1"/>
    </row>
    <row r="18" spans="1:5" x14ac:dyDescent="0.25">
      <c r="A18" s="1"/>
      <c r="B18" s="25" t="s">
        <v>153</v>
      </c>
      <c r="C18" s="68"/>
      <c r="D18" s="19"/>
      <c r="E18" s="1"/>
    </row>
    <row r="19" spans="1:5" x14ac:dyDescent="0.25">
      <c r="A19" s="1"/>
      <c r="B19" s="80" t="s">
        <v>154</v>
      </c>
      <c r="C19" s="10">
        <f>'Fane 8. Skattesagen'!G13</f>
        <v>0</v>
      </c>
      <c r="D19" s="11" t="s">
        <v>3</v>
      </c>
      <c r="E19" s="1"/>
    </row>
    <row r="20" spans="1:5" x14ac:dyDescent="0.25">
      <c r="A20" s="1"/>
      <c r="B20" s="67" t="s">
        <v>138</v>
      </c>
      <c r="C20" s="12">
        <f>SUM(C13,C15,C17,C19)</f>
        <v>17997862.167830694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1c2BoxxJ8UTliBU6SyP4g88Qgl46lete13fcIwtuWXRuLoSqAOcTpUexOw16yb87Lxds/JjLsqkjPGdQzuK/AA==" saltValue="iQJ00OsY5uWX+MroxzlEq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2" t="s">
        <v>167</v>
      </c>
      <c r="C3" s="102"/>
      <c r="D3" s="102"/>
      <c r="E3" s="1"/>
    </row>
    <row r="4" spans="1:5" ht="15" customHeight="1" x14ac:dyDescent="0.25">
      <c r="A4" s="1"/>
      <c r="B4" s="102"/>
      <c r="C4" s="102"/>
      <c r="D4" s="102"/>
      <c r="E4" s="1"/>
    </row>
    <row r="5" spans="1:5" x14ac:dyDescent="0.25">
      <c r="A5" s="1"/>
      <c r="B5" s="103" t="s">
        <v>20</v>
      </c>
      <c r="C5" s="103"/>
      <c r="D5" s="103"/>
      <c r="E5" s="1"/>
    </row>
    <row r="6" spans="1:5" x14ac:dyDescent="0.25">
      <c r="A6" s="1"/>
      <c r="B6" s="1"/>
      <c r="C6" s="1"/>
      <c r="D6" s="1"/>
      <c r="E6" s="1"/>
    </row>
    <row r="7" spans="1:5" x14ac:dyDescent="0.25">
      <c r="A7" s="1"/>
      <c r="B7" s="67" t="s">
        <v>12</v>
      </c>
      <c r="C7" s="68"/>
      <c r="D7" s="19"/>
      <c r="E7" s="1"/>
    </row>
    <row r="8" spans="1:5" ht="15" customHeight="1" x14ac:dyDescent="0.25">
      <c r="A8" s="1"/>
      <c r="B8" s="75" t="s">
        <v>139</v>
      </c>
      <c r="C8" s="7">
        <f>'Fane 2.2. Økonomisk ramme 2024'!C13</f>
        <v>10278762.136061791</v>
      </c>
      <c r="D8" s="8" t="s">
        <v>3</v>
      </c>
      <c r="E8" s="1"/>
    </row>
    <row r="9" spans="1:5" ht="15" customHeight="1" x14ac:dyDescent="0.25">
      <c r="A9" s="1"/>
      <c r="B9" s="64" t="s">
        <v>17</v>
      </c>
      <c r="C9" s="9">
        <f>SUM(C8:C8)*'Fane 13. Nøgletal'!C15</f>
        <v>365923.93204379978</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drift'!G53</f>
        <v>-123324.02933648718</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10521362.038769104</v>
      </c>
      <c r="D13" s="11" t="s">
        <v>3</v>
      </c>
      <c r="E13" s="1"/>
    </row>
    <row r="14" spans="1:5" x14ac:dyDescent="0.25">
      <c r="A14" s="1"/>
      <c r="B14" s="67" t="s">
        <v>11</v>
      </c>
      <c r="C14" s="68"/>
      <c r="D14" s="19"/>
      <c r="E14" s="1"/>
    </row>
    <row r="15" spans="1:5" ht="15" customHeight="1" x14ac:dyDescent="0.25">
      <c r="A15" s="1"/>
      <c r="B15" s="69" t="s">
        <v>11</v>
      </c>
      <c r="C15" s="10">
        <f>'Fane 6. Ikke-påvirkelige omk.'!C16*(1+'Fane 13. Nøgletal'!C15)^2</f>
        <v>8946183.4693803769</v>
      </c>
      <c r="D15" s="11" t="s">
        <v>3</v>
      </c>
      <c r="E15" s="1"/>
    </row>
    <row r="16" spans="1:5" x14ac:dyDescent="0.25">
      <c r="A16" s="1"/>
      <c r="B16" s="67" t="s">
        <v>128</v>
      </c>
      <c r="C16" s="68"/>
      <c r="D16" s="19"/>
      <c r="E16" s="1"/>
    </row>
    <row r="17" spans="1:5" x14ac:dyDescent="0.25">
      <c r="A17" s="1"/>
      <c r="B17" s="69" t="s">
        <v>129</v>
      </c>
      <c r="C17" s="10">
        <v>0</v>
      </c>
      <c r="D17" s="11" t="s">
        <v>3</v>
      </c>
      <c r="E17" s="1"/>
    </row>
    <row r="18" spans="1:5" ht="15" customHeight="1" x14ac:dyDescent="0.25">
      <c r="A18" s="1"/>
      <c r="B18" s="25" t="s">
        <v>153</v>
      </c>
      <c r="C18" s="68"/>
      <c r="D18" s="19"/>
      <c r="E18" s="1"/>
    </row>
    <row r="19" spans="1:5" ht="15" customHeight="1" x14ac:dyDescent="0.25">
      <c r="A19" s="1"/>
      <c r="B19" s="80" t="s">
        <v>154</v>
      </c>
      <c r="C19" s="10">
        <f>'Fane 8. Skattesagen'!G14</f>
        <v>0</v>
      </c>
      <c r="D19" s="11" t="s">
        <v>3</v>
      </c>
      <c r="E19" s="1"/>
    </row>
    <row r="20" spans="1:5" x14ac:dyDescent="0.25">
      <c r="A20" s="1"/>
      <c r="B20" s="67" t="s">
        <v>140</v>
      </c>
      <c r="C20" s="12">
        <f>SUM(C13,C15,C17,C19)</f>
        <v>19467545.508149482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FyNZh5I4Fuqh58YONa2Y5ORToYjxcfe2nPLMlzziafVpuCIBKGbqqCpQCT6viXCkfoGulEMNFrYEA711LOUWlQ==" saltValue="AOsp72VW6e1PtmdjGmTe1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2" t="s">
        <v>168</v>
      </c>
      <c r="C3" s="102"/>
      <c r="D3" s="102"/>
      <c r="E3" s="1"/>
    </row>
    <row r="4" spans="1:5" ht="15" customHeight="1" x14ac:dyDescent="0.25">
      <c r="A4" s="1"/>
      <c r="B4" s="102"/>
      <c r="C4" s="102"/>
      <c r="D4" s="102"/>
      <c r="E4" s="1"/>
    </row>
    <row r="5" spans="1:5" x14ac:dyDescent="0.25">
      <c r="A5" s="1"/>
      <c r="B5" s="103" t="s">
        <v>20</v>
      </c>
      <c r="C5" s="103"/>
      <c r="D5" s="103"/>
      <c r="E5" s="1"/>
    </row>
    <row r="6" spans="1:5" x14ac:dyDescent="0.25">
      <c r="A6" s="1"/>
      <c r="B6" s="1"/>
      <c r="C6" s="1"/>
      <c r="D6" s="1"/>
      <c r="E6" s="1"/>
    </row>
    <row r="7" spans="1:5" x14ac:dyDescent="0.25">
      <c r="A7" s="1"/>
      <c r="B7" s="67" t="s">
        <v>12</v>
      </c>
      <c r="C7" s="68"/>
      <c r="D7" s="19"/>
      <c r="E7" s="1"/>
    </row>
    <row r="8" spans="1:5" ht="15" customHeight="1" x14ac:dyDescent="0.25">
      <c r="A8" s="1"/>
      <c r="B8" s="75" t="s">
        <v>169</v>
      </c>
      <c r="C8" s="7">
        <f>'Fane 2.3. Økonomisk ramme 2025'!C13</f>
        <v>10521362.038769104</v>
      </c>
      <c r="D8" s="8" t="s">
        <v>3</v>
      </c>
      <c r="E8" s="1"/>
    </row>
    <row r="9" spans="1:5" ht="15" customHeight="1" x14ac:dyDescent="0.25">
      <c r="A9" s="1"/>
      <c r="B9" s="64" t="s">
        <v>17</v>
      </c>
      <c r="C9" s="9">
        <f>SUM(C8:C8)*'Fane 13. Nøgletal'!C15</f>
        <v>374560.4885801801</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drift'!G58</f>
        <v>-125160.0774852488</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10770762.449864035</v>
      </c>
      <c r="D13" s="11" t="s">
        <v>3</v>
      </c>
      <c r="E13" s="1"/>
    </row>
    <row r="14" spans="1:5" x14ac:dyDescent="0.25">
      <c r="A14" s="1"/>
      <c r="B14" s="67" t="s">
        <v>11</v>
      </c>
      <c r="C14" s="68"/>
      <c r="D14" s="19"/>
      <c r="E14" s="1"/>
    </row>
    <row r="15" spans="1:5" ht="15" customHeight="1" x14ac:dyDescent="0.25">
      <c r="A15" s="1"/>
      <c r="B15" s="69" t="s">
        <v>11</v>
      </c>
      <c r="C15" s="10">
        <f>'Fane 6. Ikke-påvirkelige omk.'!C16*(1+'Fane 13. Nøgletal'!C15)^3</f>
        <v>9264667.6008903198</v>
      </c>
      <c r="D15" s="11" t="s">
        <v>3</v>
      </c>
      <c r="E15" s="1"/>
    </row>
    <row r="16" spans="1:5" x14ac:dyDescent="0.25">
      <c r="A16" s="1"/>
      <c r="B16" s="67" t="s">
        <v>128</v>
      </c>
      <c r="C16" s="68"/>
      <c r="D16" s="19"/>
      <c r="E16" s="1"/>
    </row>
    <row r="17" spans="1:5" x14ac:dyDescent="0.25">
      <c r="A17" s="1"/>
      <c r="B17" s="69" t="s">
        <v>129</v>
      </c>
      <c r="C17" s="10">
        <v>0</v>
      </c>
      <c r="D17" s="11" t="s">
        <v>3</v>
      </c>
      <c r="E17" s="1"/>
    </row>
    <row r="18" spans="1:5" x14ac:dyDescent="0.25">
      <c r="A18" s="1"/>
      <c r="B18" s="25" t="s">
        <v>153</v>
      </c>
      <c r="C18" s="68"/>
      <c r="D18" s="19"/>
      <c r="E18" s="1"/>
    </row>
    <row r="19" spans="1:5" x14ac:dyDescent="0.25">
      <c r="A19" s="1"/>
      <c r="B19" s="80" t="s">
        <v>154</v>
      </c>
      <c r="C19" s="10">
        <f>'Fane 8. Skattesagen'!G15</f>
        <v>0</v>
      </c>
      <c r="D19" s="11" t="s">
        <v>3</v>
      </c>
      <c r="E19" s="1"/>
    </row>
    <row r="20" spans="1:5" x14ac:dyDescent="0.25">
      <c r="A20" s="1"/>
      <c r="B20" s="67" t="s">
        <v>170</v>
      </c>
      <c r="C20" s="12">
        <f>SUM(C13,C15,C17,C19)</f>
        <v>20035430.050754353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yFWaD1yhzB/h+YEifJ1JV9i6p0sfcviEQdsuQxC27Ri7HQTNfbSwosUlJg5Nlz5pa9OV22AHOaP7773PUQB2+w==" saltValue="DkIGWXCBKo6XO8N83872T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171</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172</v>
      </c>
      <c r="C8" s="68"/>
      <c r="D8" s="68"/>
      <c r="E8" s="68"/>
      <c r="F8" s="19"/>
      <c r="G8" s="1"/>
    </row>
    <row r="9" spans="1:7" x14ac:dyDescent="0.25">
      <c r="A9" s="1"/>
      <c r="B9" s="125" t="s">
        <v>22</v>
      </c>
      <c r="C9" s="126"/>
      <c r="D9" s="127"/>
      <c r="E9" s="7">
        <v>9762909.1425744053</v>
      </c>
      <c r="F9" s="8" t="s">
        <v>3</v>
      </c>
      <c r="G9" s="1"/>
    </row>
    <row r="10" spans="1:7" ht="15" customHeight="1" x14ac:dyDescent="0.25">
      <c r="A10" s="1"/>
      <c r="B10" s="107" t="s">
        <v>35</v>
      </c>
      <c r="C10" s="108"/>
      <c r="D10" s="109"/>
      <c r="E10" s="9">
        <v>0</v>
      </c>
      <c r="F10" s="8" t="s">
        <v>3</v>
      </c>
      <c r="G10" s="1"/>
    </row>
    <row r="11" spans="1:7" ht="15" customHeight="1" x14ac:dyDescent="0.25">
      <c r="A11" s="1"/>
      <c r="B11" s="107" t="s">
        <v>36</v>
      </c>
      <c r="C11" s="108"/>
      <c r="D11" s="109"/>
      <c r="E11" s="9">
        <v>0</v>
      </c>
      <c r="F11" s="8" t="s">
        <v>3</v>
      </c>
      <c r="G11" s="1"/>
    </row>
    <row r="12" spans="1:7" x14ac:dyDescent="0.25">
      <c r="A12" s="1"/>
      <c r="B12" s="107" t="s">
        <v>26</v>
      </c>
      <c r="C12" s="108"/>
      <c r="D12" s="109"/>
      <c r="E12" s="9">
        <v>0</v>
      </c>
      <c r="F12" s="8" t="s">
        <v>3</v>
      </c>
      <c r="G12" s="1"/>
    </row>
    <row r="13" spans="1:7" x14ac:dyDescent="0.25">
      <c r="A13" s="1"/>
      <c r="B13" s="107" t="s">
        <v>25</v>
      </c>
      <c r="C13" s="108"/>
      <c r="D13" s="109"/>
      <c r="E13" s="9">
        <v>0</v>
      </c>
      <c r="F13" s="8" t="s">
        <v>3</v>
      </c>
      <c r="G13" s="1"/>
    </row>
    <row r="14" spans="1:7" x14ac:dyDescent="0.25">
      <c r="A14" s="1"/>
      <c r="B14" s="107" t="s">
        <v>114</v>
      </c>
      <c r="C14" s="108"/>
      <c r="D14" s="109"/>
      <c r="E14" s="9">
        <v>0</v>
      </c>
      <c r="F14" s="8" t="s">
        <v>3</v>
      </c>
      <c r="G14" s="1"/>
    </row>
    <row r="15" spans="1:7" x14ac:dyDescent="0.25">
      <c r="A15" s="1"/>
      <c r="B15" s="107" t="s">
        <v>115</v>
      </c>
      <c r="C15" s="108"/>
      <c r="D15" s="109"/>
      <c r="E15" s="9">
        <v>0</v>
      </c>
      <c r="F15" s="8" t="s">
        <v>3</v>
      </c>
      <c r="G15" s="1"/>
    </row>
    <row r="16" spans="1:7" x14ac:dyDescent="0.25">
      <c r="A16" s="1"/>
      <c r="B16" s="107" t="s">
        <v>17</v>
      </c>
      <c r="C16" s="108"/>
      <c r="D16" s="109"/>
      <c r="E16" s="9">
        <v>119107.49153940775</v>
      </c>
      <c r="F16" s="8" t="s">
        <v>3</v>
      </c>
      <c r="G16" s="30"/>
    </row>
    <row r="17" spans="1:7" x14ac:dyDescent="0.25">
      <c r="A17" s="1"/>
      <c r="B17" s="107" t="s">
        <v>9</v>
      </c>
      <c r="C17" s="108"/>
      <c r="D17" s="109"/>
      <c r="E17" s="9">
        <v>0</v>
      </c>
      <c r="F17" s="8" t="s">
        <v>3</v>
      </c>
      <c r="G17" s="1"/>
    </row>
    <row r="18" spans="1:7" x14ac:dyDescent="0.25">
      <c r="A18" s="1"/>
      <c r="B18" s="107" t="s">
        <v>23</v>
      </c>
      <c r="C18" s="108"/>
      <c r="D18" s="109"/>
      <c r="E18" s="9">
        <v>-117975.9147777668</v>
      </c>
      <c r="F18" s="8" t="s">
        <v>3</v>
      </c>
      <c r="G18" s="1"/>
    </row>
    <row r="19" spans="1:7" x14ac:dyDescent="0.25">
      <c r="A19" s="1"/>
      <c r="B19" s="107" t="s">
        <v>24</v>
      </c>
      <c r="C19" s="108"/>
      <c r="D19" s="109"/>
      <c r="E19" s="9">
        <v>-109662.79514172021</v>
      </c>
      <c r="F19" s="8" t="s">
        <v>3</v>
      </c>
      <c r="G19" s="1"/>
    </row>
    <row r="20" spans="1:7" x14ac:dyDescent="0.25">
      <c r="A20" s="1"/>
      <c r="B20" s="110" t="s">
        <v>19</v>
      </c>
      <c r="C20" s="111"/>
      <c r="D20" s="112"/>
      <c r="E20" s="31">
        <f>SUM(E9:E19)</f>
        <v>9654377.9241943248</v>
      </c>
      <c r="F20" s="34" t="s">
        <v>3</v>
      </c>
      <c r="G20" s="1"/>
    </row>
    <row r="21" spans="1:7" x14ac:dyDescent="0.25">
      <c r="A21" s="1"/>
      <c r="B21" s="67" t="s">
        <v>11</v>
      </c>
      <c r="C21" s="68"/>
      <c r="D21" s="68"/>
      <c r="E21" s="68"/>
      <c r="F21" s="19"/>
      <c r="G21" s="1"/>
    </row>
    <row r="22" spans="1:7" x14ac:dyDescent="0.25">
      <c r="A22" s="1"/>
      <c r="B22" s="118" t="s">
        <v>11</v>
      </c>
      <c r="C22" s="119"/>
      <c r="D22" s="120"/>
      <c r="E22" s="10">
        <v>6986761.3677396411</v>
      </c>
      <c r="F22" s="11" t="s">
        <v>3</v>
      </c>
      <c r="G22" s="1"/>
    </row>
    <row r="23" spans="1:7" ht="15" customHeight="1" x14ac:dyDescent="0.25">
      <c r="A23" s="1"/>
      <c r="B23" s="116" t="s">
        <v>80</v>
      </c>
      <c r="C23" s="117"/>
      <c r="D23" s="117"/>
      <c r="E23" s="68"/>
      <c r="F23" s="68"/>
      <c r="G23" s="1"/>
    </row>
    <row r="24" spans="1:7" ht="14.25" customHeight="1" x14ac:dyDescent="0.25">
      <c r="A24" s="1"/>
      <c r="B24" s="104" t="s">
        <v>76</v>
      </c>
      <c r="C24" s="105"/>
      <c r="D24" s="106"/>
      <c r="E24" s="9">
        <v>0</v>
      </c>
      <c r="F24" s="8" t="s">
        <v>3</v>
      </c>
      <c r="G24" s="1"/>
    </row>
    <row r="25" spans="1:7" ht="14.25" customHeight="1" x14ac:dyDescent="0.25">
      <c r="A25" s="1"/>
      <c r="B25" s="104" t="s">
        <v>77</v>
      </c>
      <c r="C25" s="105"/>
      <c r="D25" s="106"/>
      <c r="E25" s="9">
        <v>0</v>
      </c>
      <c r="F25" s="8" t="s">
        <v>3</v>
      </c>
      <c r="G25" s="1"/>
    </row>
    <row r="26" spans="1:7" x14ac:dyDescent="0.25">
      <c r="A26" s="1"/>
      <c r="B26" s="113" t="s">
        <v>81</v>
      </c>
      <c r="C26" s="114"/>
      <c r="D26" s="114"/>
      <c r="E26" s="10">
        <v>0</v>
      </c>
      <c r="F26" s="11" t="s">
        <v>3</v>
      </c>
      <c r="G26" s="1"/>
    </row>
    <row r="27" spans="1:7" x14ac:dyDescent="0.25">
      <c r="A27" s="1"/>
      <c r="B27" s="67" t="s">
        <v>128</v>
      </c>
      <c r="C27" s="68"/>
      <c r="D27" s="68"/>
      <c r="E27" s="68"/>
      <c r="F27" s="19"/>
      <c r="G27" s="1"/>
    </row>
    <row r="28" spans="1:7" ht="15" customHeight="1" x14ac:dyDescent="0.25">
      <c r="A28" s="1"/>
      <c r="B28" s="113" t="s">
        <v>129</v>
      </c>
      <c r="C28" s="114"/>
      <c r="D28" s="115"/>
      <c r="E28" s="10">
        <v>-2115677.7863916308</v>
      </c>
      <c r="F28" s="11" t="s">
        <v>3</v>
      </c>
      <c r="G28" s="1"/>
    </row>
    <row r="29" spans="1:7" x14ac:dyDescent="0.25">
      <c r="A29" s="1"/>
      <c r="B29" s="67" t="s">
        <v>159</v>
      </c>
      <c r="C29" s="68"/>
      <c r="D29" s="68"/>
      <c r="E29" s="68"/>
      <c r="F29" s="19"/>
      <c r="G29" s="1"/>
    </row>
    <row r="30" spans="1:7" ht="15.75" customHeight="1" x14ac:dyDescent="0.25">
      <c r="A30" s="1"/>
      <c r="B30" s="118" t="s">
        <v>160</v>
      </c>
      <c r="C30" s="119"/>
      <c r="D30" s="120"/>
      <c r="E30" s="10">
        <v>0</v>
      </c>
      <c r="F30" s="11" t="s">
        <v>3</v>
      </c>
      <c r="G30" s="1"/>
    </row>
    <row r="31" spans="1:7" ht="15.75" customHeight="1" x14ac:dyDescent="0.25">
      <c r="A31" s="1"/>
      <c r="B31" s="121" t="s">
        <v>153</v>
      </c>
      <c r="C31" s="122"/>
      <c r="D31" s="122"/>
      <c r="E31" s="122"/>
      <c r="F31" s="123"/>
      <c r="G31" s="1"/>
    </row>
    <row r="32" spans="1:7" ht="15.75"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14525461.505542334</v>
      </c>
      <c r="F33" s="37" t="s">
        <v>3</v>
      </c>
      <c r="G33" s="1"/>
    </row>
    <row r="34" spans="1:7" ht="27.75" customHeight="1" x14ac:dyDescent="0.25">
      <c r="A34" s="1"/>
      <c r="B34" s="104" t="s">
        <v>173</v>
      </c>
      <c r="C34" s="105"/>
      <c r="D34" s="105"/>
      <c r="E34" s="105"/>
      <c r="F34" s="106"/>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F9fFadwXK4tLlNpqBANh9ktQ2vrnyrZEMX/Lox3EOD+ubz5+OGnTNe8cR+Bpv2Ut86R1Ue0ssP/cl1VjKF5v6A==" saltValue="KEk+3iyetfO4iSaoypBEnA=="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43" customWidth="1"/>
    <col min="8" max="8" width="3.7109375" style="2" customWidth="1"/>
    <col min="9" max="9" width="6.7109375" style="2" customWidth="1"/>
    <col min="10" max="16384" width="9" style="2"/>
  </cols>
  <sheetData>
    <row r="1" spans="1:9" ht="15" customHeight="1" x14ac:dyDescent="0.25">
      <c r="A1" s="1"/>
      <c r="B1" s="124" t="s">
        <v>98</v>
      </c>
      <c r="C1" s="124"/>
      <c r="D1" s="124"/>
      <c r="E1" s="124"/>
      <c r="F1" s="124"/>
      <c r="G1" s="124"/>
      <c r="H1" s="124"/>
      <c r="I1" s="1"/>
    </row>
    <row r="2" spans="1:9" ht="15" customHeight="1" x14ac:dyDescent="0.25">
      <c r="A2" s="1"/>
      <c r="B2" s="124"/>
      <c r="C2" s="124"/>
      <c r="D2" s="124"/>
      <c r="E2" s="124"/>
      <c r="F2" s="124"/>
      <c r="G2" s="124"/>
      <c r="H2" s="124"/>
      <c r="I2" s="1"/>
    </row>
    <row r="3" spans="1:9" ht="15" customHeight="1" x14ac:dyDescent="0.25">
      <c r="A3" s="1"/>
      <c r="B3" s="124"/>
      <c r="C3" s="124"/>
      <c r="D3" s="124"/>
      <c r="E3" s="124"/>
      <c r="F3" s="124"/>
      <c r="G3" s="124"/>
      <c r="H3" s="124"/>
      <c r="I3" s="1"/>
    </row>
    <row r="4" spans="1:9" x14ac:dyDescent="0.25">
      <c r="A4" s="1"/>
      <c r="B4" s="121" t="s">
        <v>49</v>
      </c>
      <c r="C4" s="122"/>
      <c r="D4" s="122"/>
      <c r="E4" s="122"/>
      <c r="F4" s="122"/>
      <c r="G4" s="122"/>
      <c r="H4" s="123"/>
      <c r="I4" s="1"/>
    </row>
    <row r="5" spans="1:9" x14ac:dyDescent="0.25">
      <c r="A5" s="1"/>
      <c r="B5" s="128" t="s">
        <v>38</v>
      </c>
      <c r="C5" s="129"/>
      <c r="D5" s="129"/>
      <c r="E5" s="129"/>
      <c r="F5" s="130"/>
      <c r="G5" s="58">
        <v>5943631.9024709687</v>
      </c>
      <c r="H5" s="14" t="s">
        <v>3</v>
      </c>
      <c r="I5" s="1"/>
    </row>
    <row r="6" spans="1:9" x14ac:dyDescent="0.25">
      <c r="A6" s="1"/>
      <c r="B6" s="128" t="s">
        <v>39</v>
      </c>
      <c r="C6" s="129"/>
      <c r="D6" s="129"/>
      <c r="E6" s="129"/>
      <c r="F6" s="130"/>
      <c r="G6" s="58">
        <f>G5*'Fane 13. Nøgletal'!C31</f>
        <v>118872.63804941937</v>
      </c>
      <c r="H6" s="14" t="s">
        <v>3</v>
      </c>
      <c r="I6" s="1"/>
    </row>
    <row r="7" spans="1:9" x14ac:dyDescent="0.25">
      <c r="A7" s="1"/>
      <c r="B7" s="67"/>
      <c r="C7" s="68"/>
      <c r="D7" s="68"/>
      <c r="E7" s="68"/>
      <c r="F7" s="68"/>
      <c r="G7" s="59"/>
      <c r="H7" s="19"/>
      <c r="I7" s="1"/>
    </row>
    <row r="8" spans="1:9" x14ac:dyDescent="0.25">
      <c r="A8" s="1"/>
      <c r="B8" s="1"/>
      <c r="C8" s="1"/>
      <c r="D8" s="1"/>
      <c r="E8" s="1"/>
      <c r="F8" s="1"/>
      <c r="G8" s="60"/>
      <c r="H8" s="1"/>
      <c r="I8" s="1"/>
    </row>
    <row r="9" spans="1:9" x14ac:dyDescent="0.25">
      <c r="A9" s="1"/>
      <c r="B9" s="121" t="s">
        <v>50</v>
      </c>
      <c r="C9" s="122"/>
      <c r="D9" s="122"/>
      <c r="E9" s="122"/>
      <c r="F9" s="122"/>
      <c r="G9" s="134"/>
      <c r="H9" s="123"/>
      <c r="I9" s="1"/>
    </row>
    <row r="10" spans="1:9" x14ac:dyDescent="0.25">
      <c r="A10" s="1"/>
      <c r="B10" s="128" t="s">
        <v>40</v>
      </c>
      <c r="C10" s="129"/>
      <c r="D10" s="129"/>
      <c r="E10" s="129"/>
      <c r="F10" s="130"/>
      <c r="G10" s="58">
        <f>(G5-G6)*(1+'Fane 13. Nøgletal'!C9)</f>
        <v>5898733.707079703</v>
      </c>
      <c r="H10" s="14" t="s">
        <v>3</v>
      </c>
      <c r="I10" s="1"/>
    </row>
    <row r="11" spans="1:9" x14ac:dyDescent="0.25">
      <c r="A11" s="1"/>
      <c r="B11" s="131" t="s">
        <v>41</v>
      </c>
      <c r="C11" s="132"/>
      <c r="D11" s="132"/>
      <c r="E11" s="132"/>
      <c r="F11" s="133"/>
      <c r="G11" s="58">
        <v>0</v>
      </c>
      <c r="H11" s="14" t="s">
        <v>3</v>
      </c>
      <c r="I11" s="1"/>
    </row>
    <row r="12" spans="1:9" x14ac:dyDescent="0.25">
      <c r="A12" s="1"/>
      <c r="B12" s="128" t="s">
        <v>42</v>
      </c>
      <c r="C12" s="129"/>
      <c r="D12" s="129"/>
      <c r="E12" s="129"/>
      <c r="F12" s="130"/>
      <c r="G12" s="58">
        <f>(G10+G11)*'Fane 13. Nøgletal'!C31</f>
        <v>117974.67414159406</v>
      </c>
      <c r="H12" s="14" t="s">
        <v>3</v>
      </c>
      <c r="I12" s="1"/>
    </row>
    <row r="13" spans="1:9" x14ac:dyDescent="0.25">
      <c r="A13" s="1"/>
      <c r="B13" s="67"/>
      <c r="C13" s="68"/>
      <c r="D13" s="68"/>
      <c r="E13" s="68"/>
      <c r="F13" s="68"/>
      <c r="G13" s="59"/>
      <c r="H13" s="19"/>
      <c r="I13" s="1"/>
    </row>
    <row r="14" spans="1:9" x14ac:dyDescent="0.25">
      <c r="A14" s="1"/>
      <c r="B14" s="1"/>
      <c r="C14" s="1"/>
      <c r="D14" s="1"/>
      <c r="E14" s="1"/>
      <c r="F14" s="1"/>
      <c r="G14" s="60"/>
      <c r="H14" s="1"/>
      <c r="I14" s="1"/>
    </row>
    <row r="15" spans="1:9" x14ac:dyDescent="0.25">
      <c r="A15" s="1"/>
      <c r="B15" s="121" t="s">
        <v>51</v>
      </c>
      <c r="C15" s="122"/>
      <c r="D15" s="122"/>
      <c r="E15" s="122"/>
      <c r="F15" s="122"/>
      <c r="G15" s="134"/>
      <c r="H15" s="123"/>
      <c r="I15" s="1"/>
    </row>
    <row r="16" spans="1:9" x14ac:dyDescent="0.25">
      <c r="A16" s="1"/>
      <c r="B16" s="128" t="s">
        <v>43</v>
      </c>
      <c r="C16" s="129"/>
      <c r="D16" s="129"/>
      <c r="E16" s="129"/>
      <c r="F16" s="130"/>
      <c r="G16" s="58">
        <f>(G10+G11-G12)*(1+'Fane 13. Nøgletal'!C11)</f>
        <v>5878453.8605947625</v>
      </c>
      <c r="H16" s="14" t="s">
        <v>3</v>
      </c>
      <c r="I16" s="1"/>
    </row>
    <row r="17" spans="1:9" x14ac:dyDescent="0.25">
      <c r="A17" s="1"/>
      <c r="B17" s="128" t="s">
        <v>108</v>
      </c>
      <c r="C17" s="129"/>
      <c r="D17" s="129"/>
      <c r="E17" s="129"/>
      <c r="F17" s="130"/>
      <c r="G17" s="58">
        <v>8830.9841435838007</v>
      </c>
      <c r="H17" s="14" t="s">
        <v>3</v>
      </c>
      <c r="I17" s="1"/>
    </row>
    <row r="18" spans="1:9" x14ac:dyDescent="0.25">
      <c r="A18" s="1"/>
      <c r="B18" s="131" t="s">
        <v>44</v>
      </c>
      <c r="C18" s="132"/>
      <c r="D18" s="132"/>
      <c r="E18" s="132"/>
      <c r="F18" s="133"/>
      <c r="G18" s="58">
        <v>0</v>
      </c>
      <c r="H18" s="14" t="s">
        <v>3</v>
      </c>
      <c r="I18" s="1"/>
    </row>
    <row r="19" spans="1:9" x14ac:dyDescent="0.25">
      <c r="A19" s="1"/>
      <c r="B19" s="128" t="s">
        <v>45</v>
      </c>
      <c r="C19" s="129"/>
      <c r="D19" s="129"/>
      <c r="E19" s="129"/>
      <c r="F19" s="130"/>
      <c r="G19" s="58">
        <f>SUM(G16:G18)*'Fane 13. Nøgletal'!C31</f>
        <v>117745.69689476694</v>
      </c>
      <c r="H19" s="14" t="s">
        <v>3</v>
      </c>
      <c r="I19" s="1"/>
    </row>
    <row r="20" spans="1:9" x14ac:dyDescent="0.25">
      <c r="A20" s="1"/>
      <c r="B20" s="67"/>
      <c r="C20" s="68"/>
      <c r="D20" s="68"/>
      <c r="E20" s="68"/>
      <c r="F20" s="68"/>
      <c r="G20" s="59"/>
      <c r="H20" s="19"/>
      <c r="I20" s="1"/>
    </row>
    <row r="21" spans="1:9" x14ac:dyDescent="0.25">
      <c r="A21" s="1"/>
      <c r="B21" s="1"/>
      <c r="C21" s="1"/>
      <c r="D21" s="1"/>
      <c r="E21" s="1"/>
      <c r="F21" s="1"/>
      <c r="G21" s="60"/>
      <c r="H21" s="1"/>
      <c r="I21" s="1"/>
    </row>
    <row r="22" spans="1:9" x14ac:dyDescent="0.25">
      <c r="A22" s="1"/>
      <c r="B22" s="121" t="s">
        <v>52</v>
      </c>
      <c r="C22" s="122"/>
      <c r="D22" s="122"/>
      <c r="E22" s="122"/>
      <c r="F22" s="122"/>
      <c r="G22" s="134"/>
      <c r="H22" s="123"/>
      <c r="I22" s="1"/>
    </row>
    <row r="23" spans="1:9" x14ac:dyDescent="0.25">
      <c r="A23" s="1"/>
      <c r="B23" s="128" t="s">
        <v>46</v>
      </c>
      <c r="C23" s="129"/>
      <c r="D23" s="129"/>
      <c r="E23" s="129"/>
      <c r="F23" s="130"/>
      <c r="G23" s="58">
        <f>(SUM(G16:G18)-G19)*(1+'Fane 13. Nøgletal'!C11)</f>
        <v>5867044.3594421353</v>
      </c>
      <c r="H23" s="14" t="s">
        <v>3</v>
      </c>
      <c r="I23" s="1"/>
    </row>
    <row r="24" spans="1:9" x14ac:dyDescent="0.25">
      <c r="A24" s="1"/>
      <c r="B24" s="131" t="s">
        <v>47</v>
      </c>
      <c r="C24" s="132"/>
      <c r="D24" s="132"/>
      <c r="E24" s="132"/>
      <c r="F24" s="133"/>
      <c r="G24" s="58">
        <v>127808.67244662001</v>
      </c>
      <c r="H24" s="14" t="s">
        <v>3</v>
      </c>
      <c r="I24" s="1"/>
    </row>
    <row r="25" spans="1:9" x14ac:dyDescent="0.25">
      <c r="A25" s="1"/>
      <c r="B25" s="128" t="s">
        <v>48</v>
      </c>
      <c r="C25" s="129"/>
      <c r="D25" s="129"/>
      <c r="E25" s="129"/>
      <c r="F25" s="130"/>
      <c r="G25" s="58">
        <f>(G23+G24)*'Fane 13. Nøgletal'!C31</f>
        <v>119897.06063777511</v>
      </c>
      <c r="H25" s="14" t="s">
        <v>3</v>
      </c>
      <c r="I25" s="1"/>
    </row>
    <row r="26" spans="1:9" x14ac:dyDescent="0.25">
      <c r="A26" s="1"/>
      <c r="B26" s="67"/>
      <c r="C26" s="68"/>
      <c r="D26" s="68"/>
      <c r="E26" s="68"/>
      <c r="F26" s="68"/>
      <c r="G26" s="59"/>
      <c r="H26" s="19"/>
      <c r="I26" s="1"/>
    </row>
    <row r="27" spans="1:9" x14ac:dyDescent="0.25">
      <c r="A27" s="1"/>
      <c r="B27" s="1"/>
      <c r="C27" s="1"/>
      <c r="D27" s="1"/>
      <c r="E27" s="1"/>
      <c r="F27" s="1"/>
      <c r="G27" s="60"/>
      <c r="H27" s="1"/>
      <c r="I27" s="1"/>
    </row>
    <row r="28" spans="1:9" x14ac:dyDescent="0.25">
      <c r="A28" s="1"/>
      <c r="B28" s="121" t="s">
        <v>132</v>
      </c>
      <c r="C28" s="122"/>
      <c r="D28" s="122"/>
      <c r="E28" s="122"/>
      <c r="F28" s="122"/>
      <c r="G28" s="134"/>
      <c r="H28" s="123"/>
      <c r="I28" s="1"/>
    </row>
    <row r="29" spans="1:9" x14ac:dyDescent="0.25">
      <c r="A29" s="1"/>
      <c r="B29" s="128" t="s">
        <v>55</v>
      </c>
      <c r="C29" s="129"/>
      <c r="D29" s="129"/>
      <c r="E29" s="129"/>
      <c r="F29" s="130"/>
      <c r="G29" s="58">
        <f>(G23+G24-G25)*(1+'Fane 13. Nøgletal'!C13)</f>
        <v>5946630.4341002423</v>
      </c>
      <c r="H29" s="14" t="s">
        <v>3</v>
      </c>
      <c r="I29" s="1"/>
    </row>
    <row r="30" spans="1:9" x14ac:dyDescent="0.25">
      <c r="A30" s="1"/>
      <c r="B30" s="128" t="s">
        <v>121</v>
      </c>
      <c r="C30" s="129"/>
      <c r="D30" s="129"/>
      <c r="E30" s="129"/>
      <c r="F30" s="130"/>
      <c r="G30" s="58">
        <v>0</v>
      </c>
      <c r="H30" s="14" t="s">
        <v>3</v>
      </c>
      <c r="I30" s="1"/>
    </row>
    <row r="31" spans="1:9" x14ac:dyDescent="0.25">
      <c r="A31" s="1"/>
      <c r="B31" s="128" t="s">
        <v>126</v>
      </c>
      <c r="C31" s="129"/>
      <c r="D31" s="129"/>
      <c r="E31" s="129"/>
      <c r="F31" s="130"/>
      <c r="G31" s="58">
        <f>(G29+G30)*'Fane 13. Nøgletal'!C31</f>
        <v>118932.60868200485</v>
      </c>
      <c r="H31" s="14" t="s">
        <v>3</v>
      </c>
      <c r="I31" s="1"/>
    </row>
    <row r="32" spans="1:9" x14ac:dyDescent="0.25">
      <c r="A32" s="1"/>
      <c r="B32" s="67"/>
      <c r="C32" s="68"/>
      <c r="D32" s="68"/>
      <c r="E32" s="68"/>
      <c r="F32" s="68"/>
      <c r="G32" s="59"/>
      <c r="H32" s="19"/>
      <c r="I32" s="1"/>
    </row>
    <row r="33" spans="1:9" x14ac:dyDescent="0.25">
      <c r="A33" s="1"/>
      <c r="B33" s="1"/>
      <c r="C33" s="1"/>
      <c r="D33" s="1"/>
      <c r="E33" s="1"/>
      <c r="F33" s="1"/>
      <c r="G33" s="60"/>
      <c r="H33" s="1"/>
      <c r="I33" s="1"/>
    </row>
    <row r="34" spans="1:9" x14ac:dyDescent="0.25">
      <c r="A34" s="1"/>
      <c r="B34" s="121" t="s">
        <v>133</v>
      </c>
      <c r="C34" s="122"/>
      <c r="D34" s="122"/>
      <c r="E34" s="122"/>
      <c r="F34" s="122"/>
      <c r="G34" s="134"/>
      <c r="H34" s="123"/>
      <c r="I34" s="1"/>
    </row>
    <row r="35" spans="1:9" x14ac:dyDescent="0.25">
      <c r="A35" s="1"/>
      <c r="B35" s="128" t="s">
        <v>74</v>
      </c>
      <c r="C35" s="129"/>
      <c r="D35" s="129"/>
      <c r="E35" s="129"/>
      <c r="F35" s="130"/>
      <c r="G35" s="58">
        <f>(G29+G30-G31)*(1+'Fane 13. Nøgletal'!C13)</f>
        <v>5898795.7388883401</v>
      </c>
      <c r="H35" s="14" t="s">
        <v>3</v>
      </c>
      <c r="I35" s="1"/>
    </row>
    <row r="36" spans="1:9" x14ac:dyDescent="0.25">
      <c r="A36" s="1"/>
      <c r="B36" s="128" t="s">
        <v>152</v>
      </c>
      <c r="C36" s="129"/>
      <c r="D36" s="129"/>
      <c r="E36" s="129"/>
      <c r="F36" s="130"/>
      <c r="G36" s="58">
        <f>('Fane 3. Omkostninger i ØR2022'!E10+'Fane 3. Omkostninger i ØR2022'!E12+'Fane 3. Omkostninger i ØR2022'!E14)*(1+'Fane 13. Nøgletal'!C14)</f>
        <v>0</v>
      </c>
      <c r="H36" s="14" t="s">
        <v>3</v>
      </c>
      <c r="I36" s="1"/>
    </row>
    <row r="37" spans="1:9" x14ac:dyDescent="0.25">
      <c r="A37" s="1"/>
      <c r="B37" s="128" t="s">
        <v>134</v>
      </c>
      <c r="C37" s="129"/>
      <c r="D37" s="129"/>
      <c r="E37" s="129"/>
      <c r="F37" s="130"/>
      <c r="G37" s="58">
        <f>(G35+G36)*'Fane 13. Nøgletal'!C31</f>
        <v>117975.9147777668</v>
      </c>
      <c r="H37" s="14" t="s">
        <v>3</v>
      </c>
      <c r="I37" s="1"/>
    </row>
    <row r="38" spans="1:9" x14ac:dyDescent="0.25">
      <c r="A38" s="1"/>
      <c r="B38" s="67"/>
      <c r="C38" s="68"/>
      <c r="D38" s="68"/>
      <c r="E38" s="68"/>
      <c r="F38" s="68"/>
      <c r="G38" s="59"/>
      <c r="H38" s="19"/>
      <c r="I38" s="1"/>
    </row>
    <row r="39" spans="1:9" x14ac:dyDescent="0.25">
      <c r="A39" s="1"/>
      <c r="B39" s="1"/>
      <c r="C39" s="1"/>
      <c r="D39" s="1"/>
      <c r="E39" s="1"/>
      <c r="F39" s="1"/>
      <c r="G39" s="60"/>
      <c r="H39" s="1"/>
      <c r="I39" s="1"/>
    </row>
    <row r="40" spans="1:9" x14ac:dyDescent="0.25">
      <c r="A40" s="1"/>
      <c r="B40" s="121" t="s">
        <v>198</v>
      </c>
      <c r="C40" s="122"/>
      <c r="D40" s="122"/>
      <c r="E40" s="122"/>
      <c r="F40" s="122"/>
      <c r="G40" s="134"/>
      <c r="H40" s="123"/>
      <c r="I40" s="1"/>
    </row>
    <row r="41" spans="1:9" x14ac:dyDescent="0.25">
      <c r="A41" s="1"/>
      <c r="B41" s="128" t="s">
        <v>73</v>
      </c>
      <c r="C41" s="129"/>
      <c r="D41" s="129"/>
      <c r="E41" s="129"/>
      <c r="F41" s="130"/>
      <c r="G41" s="58">
        <f>(G35+G36-G37)*(1+'Fane 13. Nøgletal'!C15)</f>
        <v>5986617.0098489104</v>
      </c>
      <c r="H41" s="14" t="s">
        <v>3</v>
      </c>
      <c r="I41" s="1"/>
    </row>
    <row r="42" spans="1:9" x14ac:dyDescent="0.25">
      <c r="A42" s="1"/>
      <c r="B42" s="128" t="s">
        <v>197</v>
      </c>
      <c r="C42" s="129"/>
      <c r="D42" s="129"/>
      <c r="E42" s="129"/>
      <c r="F42" s="130"/>
      <c r="G42" s="58">
        <f>('Fane 2.1. Økonomisk ramme 2023'!C9+'Fane 2.1. Økonomisk ramme 2023'!C11+'Fane 2.1. Økonomisk ramme 2023'!C13)*(1+'Fane 13. Nøgletal'!C15)</f>
        <v>0</v>
      </c>
      <c r="H42" s="14" t="s">
        <v>3</v>
      </c>
      <c r="I42" s="1"/>
    </row>
    <row r="43" spans="1:9" x14ac:dyDescent="0.25">
      <c r="A43" s="1"/>
      <c r="B43" s="128" t="s">
        <v>208</v>
      </c>
      <c r="C43" s="129"/>
      <c r="D43" s="129"/>
      <c r="E43" s="129"/>
      <c r="F43" s="130"/>
      <c r="G43" s="58">
        <f>(G41+G42)*'Fane 13. Nøgletal'!C31</f>
        <v>119732.34019697821</v>
      </c>
      <c r="H43" s="14" t="s">
        <v>3</v>
      </c>
      <c r="I43" s="1"/>
    </row>
    <row r="44" spans="1:9" x14ac:dyDescent="0.25">
      <c r="A44" s="1"/>
      <c r="B44" s="67"/>
      <c r="C44" s="68"/>
      <c r="D44" s="68"/>
      <c r="E44" s="68"/>
      <c r="F44" s="68"/>
      <c r="G44" s="59"/>
      <c r="H44" s="19"/>
      <c r="I44" s="1"/>
    </row>
    <row r="45" spans="1:9" x14ac:dyDescent="0.25">
      <c r="A45" s="1"/>
      <c r="B45" s="1"/>
      <c r="C45" s="1"/>
      <c r="D45" s="1"/>
      <c r="E45" s="1"/>
      <c r="F45" s="1"/>
      <c r="G45" s="60"/>
      <c r="H45" s="1"/>
      <c r="I45" s="1"/>
    </row>
    <row r="46" spans="1:9" x14ac:dyDescent="0.25">
      <c r="A46" s="1"/>
      <c r="B46" s="121" t="s">
        <v>199</v>
      </c>
      <c r="C46" s="122"/>
      <c r="D46" s="122"/>
      <c r="E46" s="122"/>
      <c r="F46" s="122"/>
      <c r="G46" s="134"/>
      <c r="H46" s="123"/>
      <c r="I46" s="1"/>
    </row>
    <row r="47" spans="1:9" x14ac:dyDescent="0.25">
      <c r="A47" s="1"/>
      <c r="B47" s="128" t="s">
        <v>122</v>
      </c>
      <c r="C47" s="129"/>
      <c r="D47" s="129"/>
      <c r="E47" s="129"/>
      <c r="F47" s="130"/>
      <c r="G47" s="58">
        <f>(G41+G42-G43)*(1+'Fane 13. Nøgletal'!C15)</f>
        <v>6075745.7638915414</v>
      </c>
      <c r="H47" s="14" t="s">
        <v>3</v>
      </c>
      <c r="I47" s="1"/>
    </row>
    <row r="48" spans="1:9" x14ac:dyDescent="0.25">
      <c r="A48" s="1"/>
      <c r="B48" s="128" t="s">
        <v>209</v>
      </c>
      <c r="C48" s="129"/>
      <c r="D48" s="129"/>
      <c r="E48" s="129"/>
      <c r="F48" s="130"/>
      <c r="G48" s="58">
        <f>(G47)*'Fane 13. Nøgletal'!C31</f>
        <v>121514.91527783083</v>
      </c>
      <c r="H48" s="14" t="s">
        <v>3</v>
      </c>
      <c r="I48" s="1"/>
    </row>
    <row r="49" spans="1:9" x14ac:dyDescent="0.25">
      <c r="A49" s="1"/>
      <c r="B49" s="67"/>
      <c r="C49" s="68"/>
      <c r="D49" s="68"/>
      <c r="E49" s="68"/>
      <c r="F49" s="68"/>
      <c r="G49" s="59"/>
      <c r="H49" s="19"/>
      <c r="I49" s="1"/>
    </row>
    <row r="50" spans="1:9" x14ac:dyDescent="0.25">
      <c r="A50" s="1"/>
      <c r="B50" s="1"/>
      <c r="C50" s="1"/>
      <c r="D50" s="1"/>
      <c r="E50" s="1"/>
      <c r="F50" s="1"/>
      <c r="G50" s="60"/>
      <c r="H50" s="1"/>
      <c r="I50" s="1"/>
    </row>
    <row r="51" spans="1:9" x14ac:dyDescent="0.25">
      <c r="A51" s="1"/>
      <c r="B51" s="121" t="s">
        <v>145</v>
      </c>
      <c r="C51" s="122"/>
      <c r="D51" s="122"/>
      <c r="E51" s="122"/>
      <c r="F51" s="122"/>
      <c r="G51" s="134"/>
      <c r="H51" s="123"/>
      <c r="I51" s="1"/>
    </row>
    <row r="52" spans="1:9" x14ac:dyDescent="0.25">
      <c r="A52" s="1"/>
      <c r="B52" s="128" t="s">
        <v>146</v>
      </c>
      <c r="C52" s="129"/>
      <c r="D52" s="129"/>
      <c r="E52" s="129"/>
      <c r="F52" s="130"/>
      <c r="G52" s="58">
        <f>(G47-G48)*(1+'Fane 13. Nøgletal'!C15)</f>
        <v>6166201.4668243583</v>
      </c>
      <c r="H52" s="14" t="s">
        <v>3</v>
      </c>
      <c r="I52" s="1"/>
    </row>
    <row r="53" spans="1:9" x14ac:dyDescent="0.25">
      <c r="A53" s="1"/>
      <c r="B53" s="128" t="s">
        <v>147</v>
      </c>
      <c r="C53" s="129"/>
      <c r="D53" s="129"/>
      <c r="E53" s="129"/>
      <c r="F53" s="130"/>
      <c r="G53" s="58">
        <f>(G52)*'Fane 13. Nøgletal'!C31</f>
        <v>123324.02933648718</v>
      </c>
      <c r="H53" s="14" t="s">
        <v>3</v>
      </c>
      <c r="I53" s="1"/>
    </row>
    <row r="54" spans="1:9" x14ac:dyDescent="0.25">
      <c r="A54" s="1"/>
      <c r="B54" s="67"/>
      <c r="C54" s="68"/>
      <c r="D54" s="68"/>
      <c r="E54" s="68"/>
      <c r="F54" s="68"/>
      <c r="G54" s="59"/>
      <c r="H54" s="19"/>
      <c r="I54" s="1"/>
    </row>
    <row r="55" spans="1:9" x14ac:dyDescent="0.25">
      <c r="A55" s="1"/>
      <c r="B55" s="1"/>
      <c r="C55" s="1"/>
      <c r="D55" s="1"/>
      <c r="E55" s="1"/>
      <c r="F55" s="1"/>
      <c r="G55" s="60"/>
      <c r="H55" s="1"/>
      <c r="I55" s="1"/>
    </row>
    <row r="56" spans="1:9" x14ac:dyDescent="0.25">
      <c r="A56" s="1"/>
      <c r="B56" s="121" t="s">
        <v>174</v>
      </c>
      <c r="C56" s="122"/>
      <c r="D56" s="122"/>
      <c r="E56" s="122"/>
      <c r="F56" s="122"/>
      <c r="G56" s="134"/>
      <c r="H56" s="123"/>
      <c r="I56" s="1"/>
    </row>
    <row r="57" spans="1:9" x14ac:dyDescent="0.25">
      <c r="A57" s="1"/>
      <c r="B57" s="128" t="s">
        <v>175</v>
      </c>
      <c r="C57" s="129"/>
      <c r="D57" s="129"/>
      <c r="E57" s="129"/>
      <c r="F57" s="130"/>
      <c r="G57" s="58">
        <f>(G52-G53)*(1+'Fane 13. Nøgletal'!C15)</f>
        <v>6258003.87426244</v>
      </c>
      <c r="H57" s="14" t="s">
        <v>3</v>
      </c>
      <c r="I57" s="1"/>
    </row>
    <row r="58" spans="1:9" x14ac:dyDescent="0.25">
      <c r="A58" s="1"/>
      <c r="B58" s="128" t="s">
        <v>176</v>
      </c>
      <c r="C58" s="129"/>
      <c r="D58" s="129"/>
      <c r="E58" s="129"/>
      <c r="F58" s="130"/>
      <c r="G58" s="58">
        <f>(G57)*'Fane 13. Nøgletal'!C31</f>
        <v>125160.0774852488</v>
      </c>
      <c r="H58" s="14" t="s">
        <v>3</v>
      </c>
      <c r="I58" s="1"/>
    </row>
    <row r="59" spans="1:9" x14ac:dyDescent="0.25">
      <c r="A59" s="1"/>
      <c r="B59" s="67"/>
      <c r="C59" s="68"/>
      <c r="D59" s="68"/>
      <c r="E59" s="68"/>
      <c r="F59" s="68"/>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ZnU/AstqUg1buDAyIuEQmqAPA/B77sHlX9agWy2ednaMmyxcSWUAcia5rv74/+mDXMEoE4eP+JRVZ0yRpPHPDQ==" saltValue="o0rK5Yn7uTd8hUrUzBFxAQ=="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6.28515625" style="2" customWidth="1"/>
    <col min="2" max="5" width="9" style="2"/>
    <col min="6" max="6" width="25.7109375" style="2" customWidth="1"/>
    <col min="7" max="7" width="10.28515625" style="2" customWidth="1"/>
    <col min="8" max="8" width="2.85546875" style="2" bestFit="1" customWidth="1"/>
    <col min="9" max="9" width="6" style="2" customWidth="1"/>
    <col min="10" max="16384" width="9" style="2"/>
  </cols>
  <sheetData>
    <row r="1" spans="1:9" x14ac:dyDescent="0.25">
      <c r="A1" s="1"/>
      <c r="B1" s="135" t="s">
        <v>99</v>
      </c>
      <c r="C1" s="136"/>
      <c r="D1" s="136"/>
      <c r="E1" s="136"/>
      <c r="F1" s="136"/>
      <c r="G1" s="136"/>
      <c r="H1" s="136"/>
      <c r="I1" s="1"/>
    </row>
    <row r="2" spans="1:9" ht="19.899999999999999" customHeight="1" x14ac:dyDescent="0.25">
      <c r="A2" s="1"/>
      <c r="B2" s="136"/>
      <c r="C2" s="136"/>
      <c r="D2" s="136"/>
      <c r="E2" s="136"/>
      <c r="F2" s="136"/>
      <c r="G2" s="136"/>
      <c r="H2" s="136"/>
      <c r="I2" s="1"/>
    </row>
    <row r="3" spans="1:9" ht="15" customHeight="1" x14ac:dyDescent="0.25">
      <c r="A3" s="1"/>
      <c r="B3" s="137"/>
      <c r="C3" s="137"/>
      <c r="D3" s="137"/>
      <c r="E3" s="137"/>
      <c r="F3" s="137"/>
      <c r="G3" s="137"/>
      <c r="H3" s="137"/>
      <c r="I3" s="1"/>
    </row>
    <row r="4" spans="1:9" x14ac:dyDescent="0.25">
      <c r="A4" s="1"/>
      <c r="B4" s="121" t="s">
        <v>53</v>
      </c>
      <c r="C4" s="122"/>
      <c r="D4" s="122"/>
      <c r="E4" s="122"/>
      <c r="F4" s="122"/>
      <c r="G4" s="122"/>
      <c r="H4" s="123"/>
      <c r="I4" s="1"/>
    </row>
    <row r="5" spans="1:9" x14ac:dyDescent="0.25">
      <c r="A5" s="1"/>
      <c r="B5" s="128" t="s">
        <v>56</v>
      </c>
      <c r="C5" s="129"/>
      <c r="D5" s="129"/>
      <c r="E5" s="129"/>
      <c r="F5" s="130"/>
      <c r="G5" s="58">
        <v>3664696.0084895384</v>
      </c>
      <c r="H5" s="14" t="s">
        <v>3</v>
      </c>
      <c r="I5" s="1"/>
    </row>
    <row r="6" spans="1:9" x14ac:dyDescent="0.25">
      <c r="A6" s="1"/>
      <c r="B6" s="128" t="s">
        <v>54</v>
      </c>
      <c r="C6" s="129"/>
      <c r="D6" s="129"/>
      <c r="E6" s="129"/>
      <c r="F6" s="130"/>
      <c r="G6" s="58">
        <f>G5*'Fane 13. Nøgletal'!C20</f>
        <v>33348.733677254801</v>
      </c>
      <c r="H6" s="14" t="s">
        <v>3</v>
      </c>
      <c r="I6" s="1"/>
    </row>
    <row r="7" spans="1:9" x14ac:dyDescent="0.25">
      <c r="A7" s="1"/>
      <c r="B7" s="67"/>
      <c r="C7" s="68"/>
      <c r="D7" s="68"/>
      <c r="E7" s="68"/>
      <c r="F7" s="68"/>
      <c r="G7" s="61"/>
      <c r="H7" s="19"/>
      <c r="I7" s="1"/>
    </row>
    <row r="8" spans="1:9" x14ac:dyDescent="0.25">
      <c r="A8" s="1"/>
      <c r="B8" s="1"/>
      <c r="C8" s="1"/>
      <c r="D8" s="1"/>
      <c r="E8" s="1"/>
      <c r="F8" s="1"/>
      <c r="G8" s="62"/>
      <c r="H8" s="1"/>
      <c r="I8" s="1"/>
    </row>
    <row r="9" spans="1:9" x14ac:dyDescent="0.25">
      <c r="A9" s="1"/>
      <c r="B9" s="121" t="s">
        <v>57</v>
      </c>
      <c r="C9" s="122"/>
      <c r="D9" s="122"/>
      <c r="E9" s="122"/>
      <c r="F9" s="122"/>
      <c r="G9" s="134"/>
      <c r="H9" s="123"/>
      <c r="I9" s="1"/>
    </row>
    <row r="10" spans="1:9" x14ac:dyDescent="0.25">
      <c r="A10" s="1"/>
      <c r="B10" s="128" t="s">
        <v>58</v>
      </c>
      <c r="C10" s="129"/>
      <c r="D10" s="129"/>
      <c r="E10" s="129"/>
      <c r="F10" s="130"/>
      <c r="G10" s="58">
        <f>(G5-G6)*(1+'Fane 13. Nøgletal'!C9)</f>
        <v>3677465.385202399</v>
      </c>
      <c r="H10" s="14" t="s">
        <v>3</v>
      </c>
      <c r="I10" s="1"/>
    </row>
    <row r="11" spans="1:9" x14ac:dyDescent="0.25">
      <c r="A11" s="1"/>
      <c r="B11" s="131" t="s">
        <v>59</v>
      </c>
      <c r="C11" s="132"/>
      <c r="D11" s="132"/>
      <c r="E11" s="132"/>
      <c r="F11" s="133"/>
      <c r="G11" s="63">
        <v>0</v>
      </c>
      <c r="H11" s="14" t="s">
        <v>3</v>
      </c>
      <c r="I11" s="1"/>
    </row>
    <row r="12" spans="1:9" x14ac:dyDescent="0.25">
      <c r="A12" s="1"/>
      <c r="B12" s="128" t="s">
        <v>60</v>
      </c>
      <c r="C12" s="129"/>
      <c r="D12" s="129"/>
      <c r="E12" s="129"/>
      <c r="F12" s="130"/>
      <c r="G12" s="58">
        <f>G10*'Fane 13. Nøgletal'!C20+G11*'Fane 13. Nøgletal'!C21</f>
        <v>33464.935005341831</v>
      </c>
      <c r="H12" s="14" t="s">
        <v>3</v>
      </c>
      <c r="I12" s="1"/>
    </row>
    <row r="13" spans="1:9" x14ac:dyDescent="0.25">
      <c r="A13" s="1"/>
      <c r="B13" s="67"/>
      <c r="C13" s="68"/>
      <c r="D13" s="68"/>
      <c r="E13" s="68"/>
      <c r="F13" s="68"/>
      <c r="G13" s="61"/>
      <c r="H13" s="19"/>
      <c r="I13" s="1"/>
    </row>
    <row r="14" spans="1:9" x14ac:dyDescent="0.25">
      <c r="A14" s="1"/>
      <c r="B14" s="1"/>
      <c r="C14" s="1"/>
      <c r="D14" s="1"/>
      <c r="E14" s="1"/>
      <c r="F14" s="1"/>
      <c r="G14" s="62"/>
      <c r="H14" s="1"/>
      <c r="I14" s="1"/>
    </row>
    <row r="15" spans="1:9" x14ac:dyDescent="0.25">
      <c r="A15" s="1"/>
      <c r="B15" s="121" t="s">
        <v>61</v>
      </c>
      <c r="C15" s="122"/>
      <c r="D15" s="122"/>
      <c r="E15" s="122"/>
      <c r="F15" s="122"/>
      <c r="G15" s="134"/>
      <c r="H15" s="123"/>
      <c r="I15" s="1"/>
    </row>
    <row r="16" spans="1:9" x14ac:dyDescent="0.25">
      <c r="A16" s="1"/>
      <c r="B16" s="128" t="s">
        <v>62</v>
      </c>
      <c r="C16" s="129"/>
      <c r="D16" s="129"/>
      <c r="E16" s="129"/>
      <c r="F16" s="130"/>
      <c r="G16" s="58">
        <f>(G10+G11-G12)*(1+'Fane 13. Nøgletal'!C11)</f>
        <v>3705584.0578053873</v>
      </c>
      <c r="H16" s="14" t="s">
        <v>3</v>
      </c>
      <c r="I16" s="1"/>
    </row>
    <row r="17" spans="1:9" x14ac:dyDescent="0.25">
      <c r="A17" s="1"/>
      <c r="B17" s="128" t="s">
        <v>109</v>
      </c>
      <c r="C17" s="129"/>
      <c r="D17" s="129"/>
      <c r="E17" s="129"/>
      <c r="F17" s="130"/>
      <c r="G17" s="58">
        <v>146406.42389635605</v>
      </c>
      <c r="H17" s="14" t="s">
        <v>3</v>
      </c>
      <c r="I17" s="1"/>
    </row>
    <row r="18" spans="1:9" x14ac:dyDescent="0.25">
      <c r="A18" s="1"/>
      <c r="B18" s="131" t="s">
        <v>63</v>
      </c>
      <c r="C18" s="132"/>
      <c r="D18" s="132"/>
      <c r="E18" s="132"/>
      <c r="F18" s="133"/>
      <c r="G18" s="58">
        <v>0</v>
      </c>
      <c r="H18" s="14" t="s">
        <v>3</v>
      </c>
      <c r="I18" s="1"/>
    </row>
    <row r="19" spans="1:9" x14ac:dyDescent="0.25">
      <c r="A19" s="1"/>
      <c r="B19" s="128" t="s">
        <v>64</v>
      </c>
      <c r="C19" s="129"/>
      <c r="D19" s="129"/>
      <c r="E19" s="129"/>
      <c r="F19" s="130"/>
      <c r="G19" s="58">
        <f>(G16+G17+G18)*'Fane 13. Nøgletal'!C22</f>
        <v>33512.317190805166</v>
      </c>
      <c r="H19" s="14" t="s">
        <v>3</v>
      </c>
      <c r="I19" s="1"/>
    </row>
    <row r="20" spans="1:9" x14ac:dyDescent="0.25">
      <c r="A20" s="1"/>
      <c r="B20" s="67"/>
      <c r="C20" s="68"/>
      <c r="D20" s="68"/>
      <c r="E20" s="68"/>
      <c r="F20" s="68"/>
      <c r="G20" s="61"/>
      <c r="H20" s="19"/>
      <c r="I20" s="1"/>
    </row>
    <row r="21" spans="1:9" x14ac:dyDescent="0.25">
      <c r="A21" s="1"/>
      <c r="B21" s="1"/>
      <c r="C21" s="1"/>
      <c r="D21" s="1"/>
      <c r="E21" s="1"/>
      <c r="F21" s="1"/>
      <c r="G21" s="62"/>
      <c r="H21" s="1"/>
      <c r="I21" s="1"/>
    </row>
    <row r="22" spans="1:9" x14ac:dyDescent="0.25">
      <c r="A22" s="1"/>
      <c r="B22" s="121" t="s">
        <v>65</v>
      </c>
      <c r="C22" s="122"/>
      <c r="D22" s="122"/>
      <c r="E22" s="122"/>
      <c r="F22" s="122"/>
      <c r="G22" s="134"/>
      <c r="H22" s="123"/>
      <c r="I22" s="1"/>
    </row>
    <row r="23" spans="1:9" x14ac:dyDescent="0.25">
      <c r="A23" s="1"/>
      <c r="B23" s="128" t="s">
        <v>66</v>
      </c>
      <c r="C23" s="129"/>
      <c r="D23" s="129"/>
      <c r="E23" s="129"/>
      <c r="F23" s="130"/>
      <c r="G23" s="58">
        <f>(SUM(G16:G18)-G19)*(1+'Fane 13. Nøgletal'!C11)</f>
        <v>3883010.4454911728</v>
      </c>
      <c r="H23" s="14" t="s">
        <v>3</v>
      </c>
      <c r="I23" s="1"/>
    </row>
    <row r="24" spans="1:9" x14ac:dyDescent="0.25">
      <c r="A24" s="1"/>
      <c r="B24" s="131" t="s">
        <v>67</v>
      </c>
      <c r="C24" s="132"/>
      <c r="D24" s="132"/>
      <c r="E24" s="132"/>
      <c r="F24" s="133"/>
      <c r="G24" s="58">
        <v>114278.325946686</v>
      </c>
      <c r="H24" s="14" t="s">
        <v>3</v>
      </c>
      <c r="I24" s="1"/>
    </row>
    <row r="25" spans="1:9" x14ac:dyDescent="0.25">
      <c r="A25" s="1"/>
      <c r="B25" s="128" t="s">
        <v>68</v>
      </c>
      <c r="C25" s="129"/>
      <c r="D25" s="129"/>
      <c r="E25" s="129"/>
      <c r="F25" s="130"/>
      <c r="G25" s="58">
        <f>G23*'Fane 13. Nøgletal'!C22+G24*'Fane 13. Nøgletal'!C23</f>
        <v>37027.695332659081</v>
      </c>
      <c r="H25" s="14" t="s">
        <v>3</v>
      </c>
      <c r="I25" s="1"/>
    </row>
    <row r="26" spans="1:9" x14ac:dyDescent="0.25">
      <c r="A26" s="1"/>
      <c r="B26" s="67"/>
      <c r="C26" s="68"/>
      <c r="D26" s="68"/>
      <c r="E26" s="68"/>
      <c r="F26" s="68"/>
      <c r="G26" s="61"/>
      <c r="H26" s="19"/>
      <c r="I26" s="1"/>
    </row>
    <row r="27" spans="1:9" x14ac:dyDescent="0.25">
      <c r="A27" s="1"/>
      <c r="B27" s="1"/>
      <c r="C27" s="1"/>
      <c r="D27" s="1"/>
      <c r="E27" s="1"/>
      <c r="F27" s="1"/>
      <c r="G27" s="62"/>
      <c r="H27" s="1"/>
      <c r="I27" s="1"/>
    </row>
    <row r="28" spans="1:9" x14ac:dyDescent="0.25">
      <c r="A28" s="1"/>
      <c r="B28" s="121" t="s">
        <v>130</v>
      </c>
      <c r="C28" s="122"/>
      <c r="D28" s="122"/>
      <c r="E28" s="122"/>
      <c r="F28" s="122"/>
      <c r="G28" s="134"/>
      <c r="H28" s="123"/>
      <c r="I28" s="1"/>
    </row>
    <row r="29" spans="1:9" x14ac:dyDescent="0.25">
      <c r="A29" s="1"/>
      <c r="B29" s="128" t="s">
        <v>69</v>
      </c>
      <c r="C29" s="129"/>
      <c r="D29" s="129"/>
      <c r="E29" s="129"/>
      <c r="F29" s="130"/>
      <c r="G29" s="58">
        <f>(G23+G24-G25)*(1+'Fane 13. Nøgletal'!C13)</f>
        <v>4008576.2612336832</v>
      </c>
      <c r="H29" s="14" t="s">
        <v>3</v>
      </c>
      <c r="I29" s="1"/>
    </row>
    <row r="30" spans="1:9" x14ac:dyDescent="0.25">
      <c r="A30" s="1"/>
      <c r="B30" s="128" t="s">
        <v>123</v>
      </c>
      <c r="C30" s="129"/>
      <c r="D30" s="129"/>
      <c r="E30" s="129"/>
      <c r="F30" s="130"/>
      <c r="G30" s="58">
        <v>42502.384078560004</v>
      </c>
      <c r="H30" s="14" t="s">
        <v>3</v>
      </c>
      <c r="I30" s="1"/>
    </row>
    <row r="31" spans="1:9" x14ac:dyDescent="0.25">
      <c r="A31" s="1"/>
      <c r="B31" s="128" t="s">
        <v>131</v>
      </c>
      <c r="C31" s="129"/>
      <c r="D31" s="129"/>
      <c r="E31" s="129"/>
      <c r="F31" s="130"/>
      <c r="G31" s="58">
        <f>(G29+G30)*'Fane 13. Nøgletal'!C24</f>
        <v>111404.66274608669</v>
      </c>
      <c r="H31" s="14" t="s">
        <v>3</v>
      </c>
      <c r="I31" s="1"/>
    </row>
    <row r="32" spans="1:9" x14ac:dyDescent="0.25">
      <c r="A32" s="1"/>
      <c r="B32" s="67"/>
      <c r="C32" s="68"/>
      <c r="D32" s="68"/>
      <c r="E32" s="68"/>
      <c r="F32" s="68"/>
      <c r="G32" s="61"/>
      <c r="H32" s="19"/>
      <c r="I32" s="1"/>
    </row>
    <row r="33" spans="1:9" x14ac:dyDescent="0.25">
      <c r="A33" s="1"/>
      <c r="B33" s="1"/>
      <c r="C33" s="1"/>
      <c r="D33" s="1"/>
      <c r="E33" s="1"/>
      <c r="F33" s="1"/>
      <c r="G33" s="62"/>
      <c r="H33" s="1"/>
      <c r="I33" s="1"/>
    </row>
    <row r="34" spans="1:9" x14ac:dyDescent="0.25">
      <c r="A34" s="1"/>
      <c r="B34" s="121" t="s">
        <v>135</v>
      </c>
      <c r="C34" s="122"/>
      <c r="D34" s="122"/>
      <c r="E34" s="122"/>
      <c r="F34" s="122"/>
      <c r="G34" s="134"/>
      <c r="H34" s="123"/>
      <c r="I34" s="1"/>
    </row>
    <row r="35" spans="1:9" x14ac:dyDescent="0.25">
      <c r="A35" s="1"/>
      <c r="B35" s="128" t="s">
        <v>72</v>
      </c>
      <c r="C35" s="129"/>
      <c r="D35" s="129"/>
      <c r="E35" s="129"/>
      <c r="F35" s="130"/>
      <c r="G35" s="58">
        <f>(G29+G30-G31)*(1+'Fane 13. Nøgletal'!C13)</f>
        <v>3987738.0051534637</v>
      </c>
      <c r="H35" s="14" t="s">
        <v>3</v>
      </c>
      <c r="I35" s="1"/>
    </row>
    <row r="36" spans="1:9" x14ac:dyDescent="0.25">
      <c r="A36" s="1"/>
      <c r="B36" s="128" t="s">
        <v>141</v>
      </c>
      <c r="C36" s="129"/>
      <c r="D36" s="129"/>
      <c r="E36" s="129"/>
      <c r="F36" s="130"/>
      <c r="G36" s="58">
        <f>SUM('Fane 3. Omkostninger i ØR2022'!E11)*(1+'Fane 13. Nøgletal'!C14)</f>
        <v>0</v>
      </c>
      <c r="H36" s="14" t="s">
        <v>3</v>
      </c>
      <c r="I36" s="1"/>
    </row>
    <row r="37" spans="1:9" x14ac:dyDescent="0.25">
      <c r="A37" s="1"/>
      <c r="B37" s="128" t="s">
        <v>136</v>
      </c>
      <c r="C37" s="129"/>
      <c r="D37" s="129"/>
      <c r="E37" s="129"/>
      <c r="F37" s="130"/>
      <c r="G37" s="58">
        <f>G35*'Fane 13. Nøgletal'!C24+G36*'Fane 13. Nøgletal'!C25</f>
        <v>109662.79514172026</v>
      </c>
      <c r="H37" s="14" t="s">
        <v>3</v>
      </c>
      <c r="I37" s="1"/>
    </row>
    <row r="38" spans="1:9" x14ac:dyDescent="0.25">
      <c r="A38" s="1"/>
      <c r="B38" s="67"/>
      <c r="C38" s="68"/>
      <c r="D38" s="68"/>
      <c r="E38" s="68"/>
      <c r="F38" s="68"/>
      <c r="G38" s="61"/>
      <c r="H38" s="19"/>
      <c r="I38" s="1"/>
    </row>
    <row r="39" spans="1:9" x14ac:dyDescent="0.25">
      <c r="A39" s="1"/>
      <c r="B39" s="1"/>
      <c r="C39" s="1"/>
      <c r="D39" s="1"/>
      <c r="E39" s="1"/>
      <c r="F39" s="1"/>
      <c r="G39" s="62"/>
      <c r="H39" s="1"/>
      <c r="I39" s="1"/>
    </row>
    <row r="40" spans="1:9" x14ac:dyDescent="0.25">
      <c r="A40" s="1"/>
      <c r="B40" s="121" t="s">
        <v>200</v>
      </c>
      <c r="C40" s="122"/>
      <c r="D40" s="122"/>
      <c r="E40" s="122"/>
      <c r="F40" s="122"/>
      <c r="G40" s="134"/>
      <c r="H40" s="123"/>
      <c r="I40" s="1"/>
    </row>
    <row r="41" spans="1:9" x14ac:dyDescent="0.25">
      <c r="A41" s="1"/>
      <c r="B41" s="128" t="s">
        <v>71</v>
      </c>
      <c r="C41" s="129"/>
      <c r="D41" s="129"/>
      <c r="E41" s="129"/>
      <c r="F41" s="130"/>
      <c r="G41" s="58">
        <f>(G35+G36-G37)*(1+'Fane 13. Nøgletal'!C15)</f>
        <v>4016134.687488162</v>
      </c>
      <c r="H41" s="14" t="s">
        <v>3</v>
      </c>
      <c r="I41" s="1"/>
    </row>
    <row r="42" spans="1:9" x14ac:dyDescent="0.25">
      <c r="A42" s="1"/>
      <c r="B42" s="128" t="s">
        <v>211</v>
      </c>
      <c r="C42" s="129"/>
      <c r="D42" s="129"/>
      <c r="E42" s="129"/>
      <c r="F42" s="130"/>
      <c r="G42" s="63">
        <f>SUM('Fane 2.1. Økonomisk ramme 2023'!C10+'Fane 2.1. Økonomisk ramme 2023'!C12+'Fane 2.1. Økonomisk ramme 2023'!C14)*(1+'Fane 13. Nøgletal'!C15)</f>
        <v>164413.53615744004</v>
      </c>
      <c r="H42" s="14" t="s">
        <v>3</v>
      </c>
      <c r="I42" s="1"/>
    </row>
    <row r="43" spans="1:9" x14ac:dyDescent="0.25">
      <c r="A43" s="1"/>
      <c r="B43" s="128" t="s">
        <v>70</v>
      </c>
      <c r="C43" s="129"/>
      <c r="D43" s="129"/>
      <c r="E43" s="129"/>
      <c r="F43" s="130"/>
      <c r="G43" s="58">
        <f>(G41+G42)*'Fane 13. Nøgletal'!C26</f>
        <v>0</v>
      </c>
      <c r="H43" s="14" t="s">
        <v>3</v>
      </c>
      <c r="I43" s="1"/>
    </row>
    <row r="44" spans="1:9" x14ac:dyDescent="0.25">
      <c r="A44" s="1"/>
      <c r="B44" s="67"/>
      <c r="C44" s="68"/>
      <c r="D44" s="68"/>
      <c r="E44" s="68"/>
      <c r="F44" s="68"/>
      <c r="G44" s="61"/>
      <c r="H44" s="19"/>
      <c r="I44" s="1"/>
    </row>
    <row r="45" spans="1:9" ht="12" customHeight="1" x14ac:dyDescent="0.25">
      <c r="A45" s="1"/>
      <c r="B45" s="1"/>
      <c r="C45" s="1"/>
      <c r="D45" s="1"/>
      <c r="E45" s="1"/>
      <c r="F45" s="1"/>
      <c r="G45" s="62"/>
      <c r="H45" s="1"/>
      <c r="I45" s="1"/>
    </row>
    <row r="46" spans="1:9" x14ac:dyDescent="0.25">
      <c r="A46" s="1"/>
      <c r="B46" s="121" t="s">
        <v>201</v>
      </c>
      <c r="C46" s="122"/>
      <c r="D46" s="122"/>
      <c r="E46" s="122"/>
      <c r="F46" s="122"/>
      <c r="G46" s="134"/>
      <c r="H46" s="123"/>
      <c r="I46" s="1"/>
    </row>
    <row r="47" spans="1:9" x14ac:dyDescent="0.25">
      <c r="A47" s="1"/>
      <c r="B47" s="128" t="s">
        <v>124</v>
      </c>
      <c r="C47" s="129"/>
      <c r="D47" s="129"/>
      <c r="E47" s="129"/>
      <c r="F47" s="130"/>
      <c r="G47" s="58">
        <f>(G41+G42-G43)*(1+'Fane 13. Nøgletal'!C15)</f>
        <v>4329375.7404073859</v>
      </c>
      <c r="H47" s="14" t="s">
        <v>3</v>
      </c>
      <c r="I47" s="1"/>
    </row>
    <row r="48" spans="1:9" x14ac:dyDescent="0.25">
      <c r="A48" s="1"/>
      <c r="B48" s="128" t="s">
        <v>125</v>
      </c>
      <c r="C48" s="129"/>
      <c r="D48" s="129"/>
      <c r="E48" s="129"/>
      <c r="F48" s="130"/>
      <c r="G48" s="58">
        <f>(G47)*'Fane 13. Nøgletal'!C26</f>
        <v>0</v>
      </c>
      <c r="H48" s="14" t="s">
        <v>3</v>
      </c>
      <c r="I48" s="1"/>
    </row>
    <row r="49" spans="1:9" x14ac:dyDescent="0.25">
      <c r="A49" s="1"/>
      <c r="B49" s="67"/>
      <c r="C49" s="68"/>
      <c r="D49" s="68"/>
      <c r="E49" s="68"/>
      <c r="F49" s="68"/>
      <c r="G49" s="61"/>
      <c r="H49" s="19"/>
      <c r="I49" s="1"/>
    </row>
    <row r="50" spans="1:9" x14ac:dyDescent="0.25">
      <c r="A50" s="1"/>
      <c r="B50" s="1"/>
      <c r="C50" s="1"/>
      <c r="D50" s="1"/>
      <c r="E50" s="1"/>
      <c r="F50" s="1"/>
      <c r="G50" s="62"/>
      <c r="H50" s="1"/>
      <c r="I50" s="1"/>
    </row>
    <row r="51" spans="1:9" x14ac:dyDescent="0.25">
      <c r="A51" s="1"/>
      <c r="B51" s="121" t="s">
        <v>142</v>
      </c>
      <c r="C51" s="122"/>
      <c r="D51" s="122"/>
      <c r="E51" s="122"/>
      <c r="F51" s="122"/>
      <c r="G51" s="134"/>
      <c r="H51" s="123"/>
      <c r="I51" s="1"/>
    </row>
    <row r="52" spans="1:9" x14ac:dyDescent="0.25">
      <c r="A52" s="1"/>
      <c r="B52" s="128" t="s">
        <v>143</v>
      </c>
      <c r="C52" s="129"/>
      <c r="D52" s="129"/>
      <c r="E52" s="129"/>
      <c r="F52" s="130"/>
      <c r="G52" s="58">
        <f>(G47-G48)*(1+'Fane 13. Nøgletal'!C15)</f>
        <v>4483501.5167658888</v>
      </c>
      <c r="H52" s="14" t="s">
        <v>3</v>
      </c>
      <c r="I52" s="1"/>
    </row>
    <row r="53" spans="1:9" x14ac:dyDescent="0.25">
      <c r="A53" s="1"/>
      <c r="B53" s="128" t="s">
        <v>144</v>
      </c>
      <c r="C53" s="129"/>
      <c r="D53" s="129"/>
      <c r="E53" s="129"/>
      <c r="F53" s="130"/>
      <c r="G53" s="58">
        <f>(G52)*'Fane 13. Nøgletal'!C26</f>
        <v>0</v>
      </c>
      <c r="H53" s="14" t="s">
        <v>3</v>
      </c>
      <c r="I53" s="1"/>
    </row>
    <row r="54" spans="1:9" x14ac:dyDescent="0.25">
      <c r="A54" s="1"/>
      <c r="B54" s="67"/>
      <c r="C54" s="68"/>
      <c r="D54" s="68"/>
      <c r="E54" s="68"/>
      <c r="F54" s="68"/>
      <c r="G54" s="61"/>
      <c r="H54" s="19"/>
      <c r="I54" s="1"/>
    </row>
    <row r="55" spans="1:9" x14ac:dyDescent="0.25">
      <c r="A55" s="1"/>
      <c r="B55" s="1"/>
      <c r="C55" s="1"/>
      <c r="D55" s="1"/>
      <c r="E55" s="1"/>
      <c r="F55" s="1"/>
      <c r="G55" s="62"/>
      <c r="H55" s="1"/>
      <c r="I55" s="1"/>
    </row>
    <row r="56" spans="1:9" x14ac:dyDescent="0.25">
      <c r="A56" s="1"/>
      <c r="B56" s="121" t="s">
        <v>177</v>
      </c>
      <c r="C56" s="122"/>
      <c r="D56" s="122"/>
      <c r="E56" s="122"/>
      <c r="F56" s="122"/>
      <c r="G56" s="134"/>
      <c r="H56" s="123"/>
      <c r="I56" s="1"/>
    </row>
    <row r="57" spans="1:9" x14ac:dyDescent="0.25">
      <c r="A57" s="1"/>
      <c r="B57" s="128" t="s">
        <v>178</v>
      </c>
      <c r="C57" s="129"/>
      <c r="D57" s="129"/>
      <c r="E57" s="129"/>
      <c r="F57" s="130"/>
      <c r="G57" s="58">
        <f>(G52-G53)*(1+'Fane 13. Nøgletal'!C15)</f>
        <v>4643114.170762755</v>
      </c>
      <c r="H57" s="14" t="s">
        <v>3</v>
      </c>
      <c r="I57" s="1"/>
    </row>
    <row r="58" spans="1:9" x14ac:dyDescent="0.25">
      <c r="A58" s="1"/>
      <c r="B58" s="128" t="s">
        <v>179</v>
      </c>
      <c r="C58" s="129"/>
      <c r="D58" s="129"/>
      <c r="E58" s="129"/>
      <c r="F58" s="130"/>
      <c r="G58" s="58">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eCftPY6HQYOoNtOPeFlKdbRhjGAoeMUPk8/SDV28ZwKlioI6Lvo/ueOtuF2gVHVJbO0VcjYu6Ky/iHUw1EYh0w==" saltValue="rYSlet+J9WiMmziuF1Be9Q=="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2" t="s">
        <v>82</v>
      </c>
      <c r="C3" s="102"/>
      <c r="D3" s="102"/>
      <c r="E3" s="102"/>
      <c r="F3" s="102"/>
      <c r="G3" s="102"/>
      <c r="H3" s="1"/>
    </row>
    <row r="4" spans="1:8" ht="15" customHeight="1" x14ac:dyDescent="0.25">
      <c r="A4" s="1"/>
      <c r="B4" s="102"/>
      <c r="C4" s="102"/>
      <c r="D4" s="102"/>
      <c r="E4" s="102"/>
      <c r="F4" s="102"/>
      <c r="G4" s="102"/>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1" t="s">
        <v>9</v>
      </c>
      <c r="C8" s="122"/>
      <c r="D8" s="122"/>
      <c r="E8" s="122"/>
      <c r="F8" s="122"/>
      <c r="G8" s="123"/>
      <c r="H8" s="1"/>
    </row>
    <row r="9" spans="1:8" x14ac:dyDescent="0.25">
      <c r="A9" s="1"/>
      <c r="B9" s="76" t="s">
        <v>180</v>
      </c>
      <c r="C9" s="77"/>
      <c r="D9" s="77"/>
      <c r="E9" s="77"/>
      <c r="F9" s="78"/>
      <c r="G9" s="28">
        <v>0</v>
      </c>
      <c r="H9" s="1"/>
    </row>
    <row r="10" spans="1:8" x14ac:dyDescent="0.25">
      <c r="A10" s="1"/>
      <c r="B10" s="67"/>
      <c r="C10" s="68"/>
      <c r="D10" s="68"/>
      <c r="E10" s="68"/>
      <c r="F10" s="68"/>
      <c r="G10" s="19"/>
      <c r="H10" s="1"/>
    </row>
    <row r="11" spans="1:8" x14ac:dyDescent="0.25">
      <c r="A11" s="1"/>
      <c r="B11" s="1"/>
      <c r="C11" s="1"/>
      <c r="D11" s="1"/>
      <c r="E11" s="1"/>
      <c r="F11" s="1"/>
      <c r="G11" s="1"/>
      <c r="H11" s="1"/>
    </row>
    <row r="12" spans="1:8" ht="31.5" customHeight="1" x14ac:dyDescent="0.25">
      <c r="A12" s="1"/>
      <c r="B12" s="138" t="s">
        <v>202</v>
      </c>
      <c r="C12" s="138"/>
      <c r="D12" s="138"/>
      <c r="E12" s="138"/>
      <c r="F12" s="138"/>
      <c r="G12" s="13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B7Qu8fa1SpKK142z4n3F/htGvosZHsT/EzF3pV5UbPvDJyJ4+/NPBU7QwFQ1ikCerVuKynholXjUbe3P2Jbm9A==" saltValue="zwr3DBocvezCIeSA5W9W+A=="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2022-11-30T11:53:50Z</dcterms:modified>
</cp:coreProperties>
</file>