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Novafos Vand Gladsaxe AS (V065)\ØR2025\"/>
    </mc:Choice>
  </mc:AlternateContent>
  <xr:revisionPtr revIDLastSave="0" documentId="13_ncr:1_{F1817728-94F7-4FC3-B0FE-D83F00AA1DC8}"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<sst xmlns="http://schemas.openxmlformats.org/spreadsheetml/2006/main" count="451" uniqueCount="207">
  <si>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</si>
  <si>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</si>
  <si>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</si>
  <si>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</si>
  <si>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</si>
  <si>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</si>
  <si>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</si>
  <si>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</si>
  <si>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</si>
  <si>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</si>
  <si>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</si>
  <si>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</si>
  <si>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</si>
  <si>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</si>
  <si>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</si>
  <si>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</si>
  <si>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</si>
  <si>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</si>
  <si>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</si>
  <si>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</si>
  <si>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</si>
  <si>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</si>
  <si>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</si>
  <si>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</si>
  <si>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</si>
  <si>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</si>
  <si>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</si>
  <si>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</si>
  <si>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</si>
  <si>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</si>
  <si>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</si>
  <si>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</si>
  <si>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</si>
  <si>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</si>
  <si>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</si>
  <si>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</si>
  <si>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</si>
  <si>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</si>
  <si>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</si>
  <si>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</si>
  <si>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</si>
  <si>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</si>
  <si>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</si>
  <si>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</si>
  <si>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</si>
  <si>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</si>
  <si>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</si>
  <si>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</si>
  <si>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</si>
  <si>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</si>
  <si>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</si>
  <si>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</si>
  <si>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</si>
  <si>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</si>
  <si>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</si>
  <si>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</si>
  <si>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</si>
  <si>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</si>
  <si>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</si>
  <si>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</si>
  <si>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</si>
  <si>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</si>
  <si>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</si>
  <si>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</si>
  <si>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</si>
  <si>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</si>
  <si>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</si>
  <si>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</si>
  <si>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</si>
  <si>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</si>
  <si>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</si>
  <si>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</si>
  <si>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</si>
  <si>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</si>
  <si>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</si>
  <si>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</si>
  <si>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</si>
  <si>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</si>
  <si>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</si>
  <si>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</si>
  <si>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</si>
  <si>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</si>
  <si>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</si>
  <si>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</si>
  <si>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</si>
  <si>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</si>
  <si>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</si>
  <si>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</si>
  <si>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</si>
  <si>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</si>
  <si>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</si>
  <si>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</si>
  <si>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</si>
  <si>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</si>
  <si>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</si>
  <si>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</si>
  <si>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</si>
  <si>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</si>
  <si>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</si>
  <si>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</si>
  <si>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</si>
  <si>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</si>
  <si>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</si>
  <si>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</si>
  <si>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</si>
  <si>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</si>
  <si>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</si>
  <si>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</si>
  <si>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</si>
  <si>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</si>
  <si>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</si>
  <si>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</si>
  <si>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</si>
  <si>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</si>
  <si>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</si>
  <si>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</si>
  <si>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</si>
  <si>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</si>
  <si>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</si>
  <si>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</si>
  <si>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</si>
  <si>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</si>
  <si>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</si>
  <si>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</si>
  <si>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</si>
  <si>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</si>
  <si>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</si>
  <si>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</si>
  <si>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</si>
  <si>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</si>
  <si>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</si>
  <si>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</si>
  <si>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</si>
  <si>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</si>
  <si>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</si>
  <si>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</si>
  <si>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</si>
  <si>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</si>
  <si>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</si>
  <si>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</si>
  <si>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</si>
  <si>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</si>
  <si>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</si>
  <si>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</si>
  <si>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</si>
  <si>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</si>
  <si>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</si>
  <si>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</si>
  <si>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</si>
  <si>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</si>
  <si>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</si>
  <si>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</si>
  <si>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</si>
  <si>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</si>
  <si>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</si>
  <si>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</si>
  <si>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</si>
  <si>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</si>
  <si>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</si>
  <si>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</si>
  <si>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</si>
  <si>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</si>
  <si>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</si>
  <si>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</si>
  <si>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</si>
  <si>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</si>
  <si>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</si>
  <si>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</si>
  <si>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</si>
  <si>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</si>
  <si>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</si>
  <si>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</si>
  <si>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</si>
  <si>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</si>
  <si>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</si>
  <si>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</si>
  <si>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</si>
  <si>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</si>
  <si>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</si>
  <si>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</si>
  <si>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</si>
  <si>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</si>
  <si>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</si>
  <si>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</si>
  <si>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</si>
  <si>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</si>
  <si>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</si>
  <si>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</si>
  <si>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</si>
  <si>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</si>
  <si>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</si>
  <si>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</si>
  <si>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</si>
  <si>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</si>
  <si>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</si>
  <si>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</si>
  <si>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</si>
  <si>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</si>
  <si>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</si>
  <si>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</si>
  <si>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</si>
  <si>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</si>
  <si>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Fjernaflæste målere</t>
  </si>
  <si>
    <t>Ignition</t>
  </si>
  <si>
    <t>VGL Letbanen Buddingevej - Ledningsomlægning</t>
  </si>
  <si>
    <t>stik</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</si>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</sst>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79" t="s">
        <v>4</v>
      </c>
      <c r="D6" s="79"/>
      <c r="E6" s="79"/>
      <c r="F6" s="79"/>
      <c r="G6" s="1"/>
    </row>
    <row r="7" spans="1:7" ht="15" customHeight="1" x14ac:dyDescent="0.3">
      <c r="A7" s="1"/>
      <c r="B7" s="3"/>
      <c r="C7" s="79"/>
      <c r="D7" s="79"/>
      <c r="E7" s="79"/>
      <c r="F7" s="79"/>
      <c r="G7" s="1"/>
    </row>
    <row r="8" spans="1:7" ht="15.6" x14ac:dyDescent="0.3">
      <c r="A8" s="1"/>
      <c r="B8" s="4"/>
      <c r="C8" s="84" t="s">
        <v>196</v>
      </c>
      <c r="D8" s="84"/>
      <c r="E8" s="84"/>
      <c r="F8" s="84"/>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3" t="s">
        <v>5</v>
      </c>
      <c r="D11" s="83"/>
      <c r="E11" s="83"/>
      <c r="F11" s="83"/>
      <c r="G11" s="1"/>
    </row>
    <row r="12" spans="1:7" x14ac:dyDescent="0.3">
      <c r="A12" s="1"/>
      <c r="B12" s="1"/>
      <c r="C12" s="1"/>
      <c r="D12" s="1"/>
      <c r="E12" s="1"/>
      <c r="F12" s="1"/>
      <c r="G12" s="1"/>
    </row>
    <row r="13" spans="1:7" x14ac:dyDescent="0.3">
      <c r="A13" s="1"/>
      <c r="B13" s="6" t="s">
        <v>6</v>
      </c>
      <c r="C13" s="76" t="s">
        <v>124</v>
      </c>
      <c r="D13" s="77"/>
      <c r="E13" s="77"/>
      <c r="F13" s="78"/>
      <c r="G13" s="1"/>
    </row>
    <row r="14" spans="1:7" x14ac:dyDescent="0.3">
      <c r="A14" s="1"/>
      <c r="B14" s="6" t="s">
        <v>14</v>
      </c>
      <c r="C14" s="76" t="s">
        <v>159</v>
      </c>
      <c r="D14" s="77"/>
      <c r="E14" s="77"/>
      <c r="F14" s="78"/>
      <c r="G14" s="1"/>
    </row>
    <row r="15" spans="1:7" x14ac:dyDescent="0.3">
      <c r="A15" s="1"/>
      <c r="B15" s="6" t="s">
        <v>29</v>
      </c>
      <c r="C15" s="76" t="s">
        <v>107</v>
      </c>
      <c r="D15" s="77"/>
      <c r="E15" s="77"/>
      <c r="F15" s="78"/>
      <c r="G15" s="1"/>
    </row>
    <row r="16" spans="1:7" x14ac:dyDescent="0.3">
      <c r="A16" s="1"/>
      <c r="B16" s="6" t="s">
        <v>30</v>
      </c>
      <c r="C16" s="76" t="s">
        <v>125</v>
      </c>
      <c r="D16" s="77"/>
      <c r="E16" s="77"/>
      <c r="F16" s="78"/>
      <c r="G16" s="1"/>
    </row>
    <row r="17" spans="1:7" x14ac:dyDescent="0.3">
      <c r="A17" s="1"/>
      <c r="B17" s="6" t="s">
        <v>57</v>
      </c>
      <c r="C17" s="76" t="s">
        <v>126</v>
      </c>
      <c r="D17" s="77"/>
      <c r="E17" s="77"/>
      <c r="F17" s="78"/>
      <c r="G17" s="1"/>
    </row>
    <row r="18" spans="1:7" x14ac:dyDescent="0.3">
      <c r="A18" s="1"/>
      <c r="B18" s="6" t="s">
        <v>49</v>
      </c>
      <c r="C18" s="85" t="s">
        <v>42</v>
      </c>
      <c r="D18" s="86"/>
      <c r="E18" s="86"/>
      <c r="F18" s="87"/>
      <c r="G18" s="1"/>
    </row>
    <row r="19" spans="1:7" x14ac:dyDescent="0.3">
      <c r="A19" s="1"/>
      <c r="B19" s="6" t="s">
        <v>50</v>
      </c>
      <c r="C19" s="85" t="s">
        <v>43</v>
      </c>
      <c r="D19" s="86"/>
      <c r="E19" s="86"/>
      <c r="F19" s="87"/>
      <c r="G19" s="1"/>
    </row>
    <row r="20" spans="1:7" x14ac:dyDescent="0.3">
      <c r="A20" s="1"/>
      <c r="B20" s="6" t="s">
        <v>7</v>
      </c>
      <c r="C20" s="85" t="s">
        <v>9</v>
      </c>
      <c r="D20" s="86"/>
      <c r="E20" s="86"/>
      <c r="F20" s="87"/>
      <c r="G20" s="1"/>
    </row>
    <row r="21" spans="1:7" x14ac:dyDescent="0.3">
      <c r="A21" s="1"/>
      <c r="B21" s="6" t="s">
        <v>51</v>
      </c>
      <c r="C21" s="91" t="s">
        <v>11</v>
      </c>
      <c r="D21" s="92"/>
      <c r="E21" s="92"/>
      <c r="F21" s="93"/>
      <c r="G21" s="1"/>
    </row>
    <row r="22" spans="1:7" x14ac:dyDescent="0.3">
      <c r="A22" s="1"/>
      <c r="B22" s="6" t="s">
        <v>37</v>
      </c>
      <c r="C22" s="80" t="s">
        <v>127</v>
      </c>
      <c r="D22" s="81"/>
      <c r="E22" s="81"/>
      <c r="F22" s="82"/>
      <c r="G22" s="1"/>
    </row>
    <row r="23" spans="1:7" x14ac:dyDescent="0.3">
      <c r="A23" s="1"/>
      <c r="B23" s="6" t="s">
        <v>8</v>
      </c>
      <c r="C23" s="80" t="s">
        <v>89</v>
      </c>
      <c r="D23" s="81"/>
      <c r="E23" s="81"/>
      <c r="F23" s="82"/>
      <c r="G23" s="1"/>
    </row>
    <row r="24" spans="1:7" x14ac:dyDescent="0.3">
      <c r="A24" s="1"/>
      <c r="B24" s="6" t="s">
        <v>85</v>
      </c>
      <c r="C24" s="80" t="s">
        <v>78</v>
      </c>
      <c r="D24" s="81"/>
      <c r="E24" s="81"/>
      <c r="F24" s="82"/>
      <c r="G24" s="1"/>
    </row>
    <row r="25" spans="1:7" x14ac:dyDescent="0.3">
      <c r="A25" s="1"/>
      <c r="B25" s="6" t="s">
        <v>86</v>
      </c>
      <c r="C25" s="80" t="s">
        <v>38</v>
      </c>
      <c r="D25" s="81"/>
      <c r="E25" s="81"/>
      <c r="F25" s="82"/>
      <c r="G25" s="1"/>
    </row>
    <row r="26" spans="1:7" x14ac:dyDescent="0.3">
      <c r="A26" s="1"/>
      <c r="B26" s="6" t="s">
        <v>87</v>
      </c>
      <c r="C26" s="80" t="s">
        <v>39</v>
      </c>
      <c r="D26" s="81"/>
      <c r="E26" s="81"/>
      <c r="F26" s="82"/>
      <c r="G26" s="1"/>
    </row>
    <row r="27" spans="1:7" x14ac:dyDescent="0.3">
      <c r="A27" s="1"/>
      <c r="B27" s="6" t="s">
        <v>52</v>
      </c>
      <c r="C27" s="80" t="s">
        <v>58</v>
      </c>
      <c r="D27" s="81"/>
      <c r="E27" s="81"/>
      <c r="F27" s="82"/>
      <c r="G27" s="1"/>
    </row>
    <row r="28" spans="1:7" x14ac:dyDescent="0.3">
      <c r="A28" s="1"/>
      <c r="B28" s="6" t="s">
        <v>46</v>
      </c>
      <c r="C28" s="80" t="s">
        <v>31</v>
      </c>
      <c r="D28" s="81"/>
      <c r="E28" s="81"/>
      <c r="F28" s="82"/>
      <c r="G28" s="1"/>
    </row>
    <row r="29" spans="1:7" x14ac:dyDescent="0.3">
      <c r="A29" s="1"/>
      <c r="B29" s="6" t="s">
        <v>88</v>
      </c>
      <c r="C29" s="88" t="s">
        <v>47</v>
      </c>
      <c r="D29" s="89"/>
      <c r="E29" s="89"/>
      <c r="F29" s="90"/>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J82s4QYmqnBkFzNsGsgbOHb1xnSs/k7lYEFzuEDlMDA54izuMd88pwFNy2Q8cE5TtZ7o2IHyE2ulHNpEU7oebA==" saltValue="P85vwfHagQdvWMN68qqYGw=="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142</v>
      </c>
      <c r="C8" s="99"/>
      <c r="D8" s="100"/>
      <c r="E8" s="1"/>
    </row>
    <row r="9" spans="1:5" ht="15" customHeight="1" x14ac:dyDescent="0.3">
      <c r="A9" s="1"/>
      <c r="B9" s="51" t="s">
        <v>27</v>
      </c>
      <c r="C9" s="45" t="s">
        <v>145</v>
      </c>
      <c r="D9" s="11"/>
      <c r="E9" s="1"/>
    </row>
    <row r="10" spans="1:5" ht="15" customHeight="1" x14ac:dyDescent="0.3">
      <c r="A10" s="1"/>
      <c r="B10" s="64" t="s">
        <v>197</v>
      </c>
      <c r="C10" s="65">
        <v>19869885</v>
      </c>
      <c r="D10" s="14" t="s">
        <v>3</v>
      </c>
      <c r="E10" s="1"/>
    </row>
    <row r="11" spans="1:5" x14ac:dyDescent="0.3">
      <c r="A11" s="1"/>
      <c r="B11" s="64" t="s">
        <v>198</v>
      </c>
      <c r="C11" s="65">
        <v>111711</v>
      </c>
      <c r="D11" s="14" t="s">
        <v>3</v>
      </c>
      <c r="E11" s="1"/>
    </row>
    <row r="12" spans="1:5" ht="26.4" x14ac:dyDescent="0.3">
      <c r="A12" s="1"/>
      <c r="B12" s="64" t="s">
        <v>199</v>
      </c>
      <c r="C12" s="65">
        <v>7374962</v>
      </c>
      <c r="D12" s="14" t="s">
        <v>3</v>
      </c>
      <c r="E12" s="1"/>
    </row>
    <row r="13" spans="1:5" x14ac:dyDescent="0.3">
      <c r="A13" s="1"/>
      <c r="B13" s="64" t="s">
        <v>200</v>
      </c>
      <c r="C13" s="65">
        <v>171035</v>
      </c>
      <c r="D13" s="14" t="s">
        <v>3</v>
      </c>
      <c r="E13" s="1"/>
    </row>
    <row r="14" spans="1:5" x14ac:dyDescent="0.3">
      <c r="A14" s="1"/>
      <c r="B14" s="64" t="s">
        <v>201</v>
      </c>
      <c r="C14" s="65">
        <v>375328</v>
      </c>
      <c r="D14" s="14" t="s">
        <v>3</v>
      </c>
      <c r="E14" s="1"/>
    </row>
    <row r="15" spans="1:5" x14ac:dyDescent="0.3">
      <c r="A15" s="1"/>
      <c r="B15" s="64"/>
      <c r="C15" s="65"/>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143</v>
      </c>
      <c r="C19" s="12">
        <f>SUM(C10:C18)</f>
        <v>27902921</v>
      </c>
      <c r="D19" s="13" t="s">
        <v>3</v>
      </c>
      <c r="E19" s="1"/>
    </row>
    <row r="20" spans="1:5" x14ac:dyDescent="0.3">
      <c r="A20" s="1"/>
      <c r="B20" s="52" t="s">
        <v>144</v>
      </c>
      <c r="C20" s="12">
        <f>C19*(1+'Fane 13. Nøgletal'!C11)^2</f>
        <v>31725500.915410489</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BZz8j3hxkt9gWzpG0HOJrpfTe6qqObj8wb76lc96b1pkc6QaoNpC6Ra8US4SPBypXVCG3pk2GlBekAz7P7G0+g==" saltValue="mF3q0A/WuJUpg9G5pgkL/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172</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175</v>
      </c>
      <c r="C8" s="99"/>
      <c r="D8" s="100"/>
      <c r="E8" s="1"/>
    </row>
    <row r="9" spans="1:5" x14ac:dyDescent="0.3">
      <c r="A9" s="1"/>
      <c r="B9" s="56" t="s">
        <v>176</v>
      </c>
      <c r="C9" s="9">
        <v>-5797258.7173174322</v>
      </c>
      <c r="D9" s="39" t="s">
        <v>3</v>
      </c>
      <c r="E9" s="1"/>
    </row>
    <row r="10" spans="1:5" x14ac:dyDescent="0.3">
      <c r="A10" s="1"/>
      <c r="B10" s="56" t="s">
        <v>174</v>
      </c>
      <c r="C10" s="9">
        <v>-3009728.2622187585</v>
      </c>
      <c r="D10" s="14" t="s">
        <v>3</v>
      </c>
      <c r="E10" s="1"/>
    </row>
    <row r="11" spans="1:5" x14ac:dyDescent="0.3">
      <c r="A11" s="1"/>
      <c r="B11" s="52"/>
      <c r="C11" s="53"/>
      <c r="D11" s="19"/>
      <c r="E11" s="1"/>
    </row>
    <row r="12" spans="1:5" ht="53.85" customHeight="1" x14ac:dyDescent="0.3">
      <c r="A12" s="1"/>
      <c r="B12" s="107" t="s">
        <v>173</v>
      </c>
      <c r="C12" s="108"/>
      <c r="D12" s="109"/>
      <c r="E12" s="1"/>
    </row>
    <row r="13" spans="1:5" x14ac:dyDescent="0.3">
      <c r="A13" s="1"/>
      <c r="B13" s="1"/>
      <c r="C13" s="1"/>
      <c r="D13" s="1"/>
      <c r="E13" s="1"/>
    </row>
    <row r="14" spans="1:5" x14ac:dyDescent="0.3">
      <c r="A14" s="1"/>
      <c r="B14" s="68" t="s">
        <v>177</v>
      </c>
      <c r="C14" s="69"/>
      <c r="D14" s="70"/>
      <c r="E14" s="1"/>
    </row>
    <row r="15" spans="1:5" x14ac:dyDescent="0.3">
      <c r="A15" s="1"/>
      <c r="B15" s="56" t="s">
        <v>178</v>
      </c>
      <c r="C15" s="9">
        <f>IF(C10&lt;0,C10,0)</f>
        <v>-3009728.2622187585</v>
      </c>
      <c r="D15" s="14" t="s">
        <v>3</v>
      </c>
      <c r="E15" s="1"/>
    </row>
    <row r="16" spans="1:5" x14ac:dyDescent="0.3">
      <c r="A16" s="1"/>
      <c r="B16" s="56" t="s">
        <v>185</v>
      </c>
      <c r="C16" s="9">
        <f>IF(SUM(C9)&gt;0,SUM(C9),0)</f>
        <v>0</v>
      </c>
      <c r="D16" s="14" t="s">
        <v>3</v>
      </c>
      <c r="E16" s="1"/>
    </row>
    <row r="17" spans="1:5" ht="27" x14ac:dyDescent="0.3">
      <c r="A17" s="1"/>
      <c r="B17" s="71" t="s">
        <v>179</v>
      </c>
      <c r="C17" s="62">
        <f>IF(SUM(C15:C16)&gt;0,0,SUM(C15:C16))</f>
        <v>-3009728.2622187585</v>
      </c>
      <c r="D17" s="17" t="s">
        <v>3</v>
      </c>
      <c r="E17" s="1"/>
    </row>
    <row r="18" spans="1:5" x14ac:dyDescent="0.3">
      <c r="A18" s="1"/>
      <c r="B18" s="52"/>
      <c r="C18" s="53"/>
      <c r="D18" s="19"/>
      <c r="E18" s="1"/>
    </row>
    <row r="19" spans="1:5" x14ac:dyDescent="0.3">
      <c r="A19" s="1"/>
      <c r="B19" s="1"/>
      <c r="C19" s="1"/>
      <c r="D19" s="1"/>
      <c r="E19" s="1"/>
    </row>
    <row r="20" spans="1:5" x14ac:dyDescent="0.3">
      <c r="A20" s="1"/>
      <c r="B20" s="68" t="s">
        <v>180</v>
      </c>
      <c r="C20" s="69"/>
      <c r="D20" s="70"/>
      <c r="E20" s="1"/>
    </row>
    <row r="21" spans="1:5" x14ac:dyDescent="0.3">
      <c r="A21" s="1"/>
      <c r="B21" s="56" t="s">
        <v>181</v>
      </c>
      <c r="C21" s="9">
        <v>59807917.261542737</v>
      </c>
      <c r="D21" s="14" t="s">
        <v>3</v>
      </c>
      <c r="E21" s="1"/>
    </row>
    <row r="22" spans="1:5" x14ac:dyDescent="0.3">
      <c r="A22" s="1"/>
      <c r="B22" s="56" t="s">
        <v>182</v>
      </c>
      <c r="C22" s="9">
        <v>61869970</v>
      </c>
      <c r="D22" s="14" t="s">
        <v>3</v>
      </c>
      <c r="E22" s="1"/>
    </row>
    <row r="23" spans="1:5" x14ac:dyDescent="0.3">
      <c r="A23" s="1"/>
      <c r="B23" s="56" t="s">
        <v>28</v>
      </c>
      <c r="C23" s="9">
        <v>0</v>
      </c>
      <c r="D23" s="14" t="s">
        <v>3</v>
      </c>
      <c r="E23" s="1"/>
    </row>
    <row r="24" spans="1:5" x14ac:dyDescent="0.3">
      <c r="A24" s="1"/>
      <c r="B24" s="73" t="s">
        <v>183</v>
      </c>
      <c r="C24" s="46">
        <f>C21-C22-C23</f>
        <v>-2062052.7384572625</v>
      </c>
      <c r="D24" s="17" t="s">
        <v>3</v>
      </c>
      <c r="E24" s="1"/>
    </row>
    <row r="25" spans="1:5" x14ac:dyDescent="0.3">
      <c r="A25" s="1"/>
      <c r="B25" s="52"/>
      <c r="C25" s="53"/>
      <c r="D25" s="19"/>
      <c r="E25" s="1"/>
    </row>
    <row r="26" spans="1:5" x14ac:dyDescent="0.3">
      <c r="A26" s="1"/>
      <c r="B26" s="1"/>
      <c r="C26" s="1"/>
      <c r="D26" s="1"/>
      <c r="E26" s="1"/>
    </row>
    <row r="27" spans="1:5" x14ac:dyDescent="0.3">
      <c r="A27" s="1"/>
      <c r="B27" s="98" t="s">
        <v>184</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-5071781.000676021</v>
      </c>
      <c r="D28" s="14" t="s">
        <v>3</v>
      </c>
      <c r="E28" s="1"/>
    </row>
    <row r="29" spans="1:5" x14ac:dyDescent="0.3">
      <c r="A29" s="1"/>
      <c r="B29" s="57" t="s">
        <v>48</v>
      </c>
      <c r="C29" s="9">
        <v>2</v>
      </c>
      <c r="D29" s="14" t="s">
        <v>18</v>
      </c>
      <c r="E29" s="1"/>
    </row>
    <row r="30" spans="1:5" x14ac:dyDescent="0.3">
      <c r="A30" s="1"/>
      <c r="B30" s="58" t="s">
        <v>64</v>
      </c>
      <c r="C30" s="10">
        <f>C28/C29</f>
        <v>-2535890.5003380105</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VEZ7y4dm1d8kOVWVl/UWI37k12B80T6loy3VjKuzDrbAw2lSq8thgFB6Q3O0SbG2QRJ3anZKm03CqTk3dm5RaQ==" saltValue="z1WbNBJdxUctRyJZ8+2Cyw=="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123</v>
      </c>
      <c r="C9" s="114"/>
      <c r="D9" s="115"/>
      <c r="E9" s="1"/>
    </row>
    <row r="10" spans="1:5" x14ac:dyDescent="0.3">
      <c r="A10" s="1"/>
      <c r="B10" s="59" t="s">
        <v>98</v>
      </c>
      <c r="C10" s="41"/>
      <c r="D10" s="9" t="s">
        <v>3</v>
      </c>
      <c r="E10" s="1"/>
    </row>
    <row r="11" spans="1:5" x14ac:dyDescent="0.3">
      <c r="A11" s="1"/>
      <c r="B11" s="59" t="s">
        <v>99</v>
      </c>
      <c r="C11" s="41"/>
      <c r="D11" s="9" t="s">
        <v>3</v>
      </c>
      <c r="E11" s="1"/>
    </row>
    <row r="12" spans="1:5" x14ac:dyDescent="0.3">
      <c r="A12" s="1"/>
      <c r="B12" s="59" t="s">
        <v>100</v>
      </c>
      <c r="C12" s="9"/>
      <c r="D12" s="9" t="s">
        <v>3</v>
      </c>
      <c r="E12" s="1"/>
    </row>
    <row r="13" spans="1:5" x14ac:dyDescent="0.3">
      <c r="A13" s="1"/>
      <c r="B13" s="59" t="s">
        <v>101</v>
      </c>
      <c r="C13" s="9"/>
      <c r="D13" s="9" t="s">
        <v>3</v>
      </c>
      <c r="E13" s="1"/>
    </row>
    <row r="14" spans="1:5" x14ac:dyDescent="0.3">
      <c r="A14" s="1"/>
      <c r="B14" s="59" t="s">
        <v>102</v>
      </c>
      <c r="C14" s="9"/>
      <c r="D14" s="9" t="s">
        <v>3</v>
      </c>
      <c r="E14" s="1"/>
    </row>
    <row r="15" spans="1:5" x14ac:dyDescent="0.3">
      <c r="A15" s="1"/>
      <c r="B15" s="59" t="s">
        <v>103</v>
      </c>
      <c r="C15" s="9"/>
      <c r="D15" s="9" t="s">
        <v>3</v>
      </c>
      <c r="E15" s="1"/>
    </row>
    <row r="16" spans="1:5" x14ac:dyDescent="0.3">
      <c r="A16" s="1"/>
      <c r="B16" s="59" t="s">
        <v>104</v>
      </c>
      <c r="C16" s="9"/>
      <c r="D16" s="9" t="s">
        <v>3</v>
      </c>
      <c r="E16" s="1"/>
    </row>
    <row r="17" spans="1:5" x14ac:dyDescent="0.3">
      <c r="A17" s="1"/>
      <c r="B17" s="59" t="s">
        <v>105</v>
      </c>
      <c r="C17" s="9"/>
      <c r="D17" s="9" t="s">
        <v>3</v>
      </c>
      <c r="E17" s="1"/>
    </row>
    <row r="18" spans="1:5" x14ac:dyDescent="0.3">
      <c r="A18" s="1"/>
      <c r="B18" s="68" t="s">
        <v>106</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SMc05E1/boABoA+BChw5BC/GM3rVinztkEsVwU95o6PskjlVIl/1U438jFE9y3QaOy7aMpXzj+3ZhCz0NU1fFA==" saltValue="QlLz2sGzTfYaU75dymL0sQ=="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192</v>
      </c>
      <c r="C10" s="48">
        <v>0</v>
      </c>
      <c r="D10" s="9">
        <v>0</v>
      </c>
      <c r="E10" s="14" t="s">
        <v>3</v>
      </c>
      <c r="F10" s="61">
        <f>IFERROR(D10/C10,0)</f>
        <v>0</v>
      </c>
      <c r="G10" s="14" t="s">
        <v>3</v>
      </c>
      <c r="H10" s="9">
        <v>0</v>
      </c>
      <c r="I10" s="14" t="s">
        <v>3</v>
      </c>
      <c r="J10" s="9">
        <v>0</v>
      </c>
      <c r="K10" s="14" t="s">
        <v>3</v>
      </c>
      <c r="L10" s="1"/>
    </row>
    <row r="11" spans="1:12" x14ac:dyDescent="0.3">
      <c r="A11" s="1"/>
      <c r="B11" s="52" t="s">
        <v>146</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XTTNQkLCJYMvfC34gRydECTpRWb5e+vrMH0QqDFNnX4YGCpYcpYuOH6MDN47mCOnpHk3FeNpd8mCTmLs2fJ3iQ==" saltValue="SOqZHHsHzQgywaPiWVxBc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202</v>
      </c>
      <c r="C11" s="21">
        <v>690684</v>
      </c>
      <c r="D11" s="14" t="s">
        <v>3</v>
      </c>
      <c r="E11" s="9">
        <v>2416858</v>
      </c>
      <c r="F11" s="14" t="s">
        <v>3</v>
      </c>
      <c r="G11" s="1"/>
    </row>
    <row r="12" spans="1:7" x14ac:dyDescent="0.3">
      <c r="A12" s="1"/>
      <c r="B12" s="26" t="s">
        <v>203</v>
      </c>
      <c r="C12" s="21">
        <v>13049</v>
      </c>
      <c r="D12" s="14" t="s">
        <v>3</v>
      </c>
      <c r="E12" s="9">
        <v>754848</v>
      </c>
      <c r="F12" s="14" t="s">
        <v>3</v>
      </c>
      <c r="G12" s="1"/>
    </row>
    <row r="13" spans="1:7" x14ac:dyDescent="0.3">
      <c r="A13" s="1"/>
      <c r="B13" s="26" t="s">
        <v>204</v>
      </c>
      <c r="C13" s="21">
        <v>0</v>
      </c>
      <c r="D13" s="14" t="s">
        <v>3</v>
      </c>
      <c r="E13" s="9">
        <v>98462</v>
      </c>
      <c r="F13" s="14" t="s">
        <v>3</v>
      </c>
      <c r="G13" s="1"/>
    </row>
    <row r="14" spans="1:7" x14ac:dyDescent="0.3">
      <c r="A14" s="1"/>
      <c r="B14" s="26" t="s">
        <v>205</v>
      </c>
      <c r="C14" s="21">
        <v>113842</v>
      </c>
      <c r="D14" s="14" t="s">
        <v>3</v>
      </c>
      <c r="E14" s="9">
        <v>10929</v>
      </c>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112</v>
      </c>
      <c r="C17" s="12">
        <f>SUM(C10:C16)</f>
        <v>817575</v>
      </c>
      <c r="D17" s="13" t="s">
        <v>3</v>
      </c>
      <c r="E17" s="12">
        <f>SUM(E10:E16)</f>
        <v>3281097</v>
      </c>
      <c r="F17" s="13" t="s">
        <v>3</v>
      </c>
      <c r="G17" s="1"/>
    </row>
    <row r="18" spans="1:7" x14ac:dyDescent="0.3">
      <c r="A18" s="1"/>
      <c r="B18" s="52" t="s">
        <v>147</v>
      </c>
      <c r="C18" s="12">
        <f>C17*(1+'Fane 13. Nøgletal'!C11)</f>
        <v>871780.22250000003</v>
      </c>
      <c r="D18" s="13" t="s">
        <v>3</v>
      </c>
      <c r="E18" s="12">
        <f>E17*(1+'Fane 13. Nøgletal'!C11)</f>
        <v>3498633.7311</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4RmBH6NiUmQXwZKV6ayYJCN+cBrTMcchrXzwN4UMgNg3gfg3e6TTmcLh3pVg0j2Oy4tuTubctdYQlAK+TBMGPg==" saltValue="DJQ/Uz6MYYVB+yLMizrLI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150</v>
      </c>
      <c r="C8" s="99"/>
      <c r="D8" s="99"/>
      <c r="E8" s="99"/>
      <c r="F8" s="100"/>
      <c r="G8" s="1"/>
    </row>
    <row r="9" spans="1:7" x14ac:dyDescent="0.3">
      <c r="A9" s="1"/>
      <c r="B9" s="71" t="s">
        <v>15</v>
      </c>
      <c r="C9" s="73" t="s">
        <v>10</v>
      </c>
      <c r="D9" s="74"/>
      <c r="E9" s="73" t="s">
        <v>26</v>
      </c>
      <c r="F9" s="27"/>
      <c r="G9" s="1"/>
    </row>
    <row r="10" spans="1:7" x14ac:dyDescent="0.3">
      <c r="A10" s="1"/>
      <c r="B10" s="23" t="s">
        <v>206</v>
      </c>
      <c r="C10" s="21"/>
      <c r="D10" s="14" t="s">
        <v>3</v>
      </c>
      <c r="E10" s="9"/>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148</v>
      </c>
      <c r="C13" s="12">
        <f>SUM(C10:C12)</f>
        <v>0</v>
      </c>
      <c r="D13" s="13" t="s">
        <v>3</v>
      </c>
      <c r="E13" s="12">
        <f>SUM(E10:E12)</f>
        <v>0</v>
      </c>
      <c r="F13" s="13" t="s">
        <v>3</v>
      </c>
      <c r="G13" s="1"/>
    </row>
    <row r="14" spans="1:7" x14ac:dyDescent="0.3">
      <c r="A14" s="1"/>
      <c r="B14" s="52" t="s">
        <v>149</v>
      </c>
      <c r="C14" s="12">
        <f>C13*(1+'Fane 13. Nøgletal'!$C$11)^2</f>
        <v>0</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KuijEuBLQ6guoL5DqWz878vN+uBpmVSDI+NofAaSCz+fBTM6PeYqrTMHXZRtPLuVNXy3CSDBGzREJDjiPaCwLw==" saltValue="39kxEke8GKM4U7CZ7z7ca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190</v>
      </c>
      <c r="C10" s="9">
        <v>0</v>
      </c>
      <c r="D10" s="14" t="s">
        <v>3</v>
      </c>
      <c r="E10" s="9">
        <v>0</v>
      </c>
      <c r="F10" s="14" t="s">
        <v>3</v>
      </c>
      <c r="G10" s="1"/>
    </row>
    <row r="11" spans="1:7" ht="28.5" customHeight="1" x14ac:dyDescent="0.3">
      <c r="A11" s="1"/>
      <c r="B11" s="20" t="s">
        <v>115</v>
      </c>
      <c r="C11" s="12">
        <f>SUM(C10:C10)</f>
        <v>0</v>
      </c>
      <c r="D11" s="13" t="s">
        <v>3</v>
      </c>
      <c r="E11" s="12">
        <f>SUM(E10:E10)</f>
        <v>0</v>
      </c>
      <c r="F11" s="13" t="s">
        <v>3</v>
      </c>
      <c r="G11" s="1"/>
    </row>
    <row r="12" spans="1:7" ht="27" customHeight="1" x14ac:dyDescent="0.3">
      <c r="A12" s="1"/>
      <c r="B12" s="20" t="s">
        <v>151</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LggBmwqqNVaS7oadNhhs0cQL9Nk44THdSqfmEzL0A4BWS2AdAkfcQ9Ky2t4fKPcPlFGt6YoqSLtAegAilEUn3w==" saltValue="0J0PQaDxUz0+c2aUFeJaT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152</v>
      </c>
      <c r="C8" s="99"/>
      <c r="D8" s="99"/>
      <c r="E8" s="99"/>
      <c r="F8" s="100"/>
      <c r="G8" s="1"/>
    </row>
    <row r="9" spans="1:7" x14ac:dyDescent="0.3">
      <c r="A9" s="1"/>
      <c r="B9" s="54" t="s">
        <v>16</v>
      </c>
      <c r="C9" s="51" t="s">
        <v>10</v>
      </c>
      <c r="D9" s="27"/>
      <c r="E9" s="51" t="s">
        <v>26</v>
      </c>
      <c r="F9" s="27"/>
      <c r="G9" s="1"/>
    </row>
    <row r="10" spans="1:7" x14ac:dyDescent="0.3">
      <c r="A10" s="1"/>
      <c r="B10" s="60" t="s">
        <v>191</v>
      </c>
      <c r="C10" s="9">
        <v>0</v>
      </c>
      <c r="D10" s="14" t="s">
        <v>3</v>
      </c>
      <c r="E10" s="9">
        <v>0</v>
      </c>
      <c r="F10" s="14" t="s">
        <v>3</v>
      </c>
      <c r="G10" s="1"/>
    </row>
    <row r="11" spans="1:7" x14ac:dyDescent="0.3">
      <c r="A11" s="1"/>
      <c r="B11" s="52" t="s">
        <v>122</v>
      </c>
      <c r="C11" s="12">
        <f>SUM(C10:C10)</f>
        <v>0</v>
      </c>
      <c r="D11" s="13" t="s">
        <v>3</v>
      </c>
      <c r="E11" s="12">
        <f>SUM(E10:E10)</f>
        <v>0</v>
      </c>
      <c r="F11" s="13" t="s">
        <v>3</v>
      </c>
      <c r="G11" s="1"/>
    </row>
    <row r="12" spans="1:7" x14ac:dyDescent="0.3">
      <c r="A12" s="1"/>
      <c r="B12" s="52" t="s">
        <v>189</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bO5OdHbW+MtybmmdE4Zp+tqtaFBg7DJrVM9oal5pRU5DEiPLqh0UjmuaSXpmzc04OXSH/okHGArJzkCKGN5tVg==" saltValue="6lB0r4mi1Lv4rIG6WkTwK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187</v>
      </c>
      <c r="C9" s="49">
        <v>3.56E-2</v>
      </c>
      <c r="D9" s="1"/>
    </row>
    <row r="10" spans="1:4" x14ac:dyDescent="0.3">
      <c r="A10" s="1"/>
      <c r="B10" s="43" t="s">
        <v>186</v>
      </c>
      <c r="C10" s="49">
        <v>8.0799999999999997E-2</v>
      </c>
      <c r="D10" s="1"/>
    </row>
    <row r="11" spans="1:4" x14ac:dyDescent="0.3">
      <c r="A11" s="1"/>
      <c r="B11" s="43" t="s">
        <v>194</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188</v>
      </c>
      <c r="C16" s="37">
        <v>0</v>
      </c>
      <c r="D16" s="1"/>
    </row>
    <row r="17" spans="1:4" x14ac:dyDescent="0.3">
      <c r="A17" s="1"/>
      <c r="B17" s="43" t="s">
        <v>111</v>
      </c>
      <c r="C17" s="37">
        <v>0</v>
      </c>
      <c r="D17" s="1"/>
    </row>
    <row r="18" spans="1:4" x14ac:dyDescent="0.3">
      <c r="A18" s="1"/>
      <c r="B18" s="43" t="s">
        <v>195</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GT4JvKybk7d6yRJi2Mxbp4QjEjTkqw8TN4sMyXoxNccOeaQzciCrOMzIf6A34GLy+RweClmfRV3iRVavYWWKyw==" saltValue="uYX7heBpDYXBKnV5RQ6muw=="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31531441.911125537</v>
      </c>
      <c r="D9" s="8" t="s">
        <v>3</v>
      </c>
      <c r="E9" s="1"/>
    </row>
    <row r="10" spans="1:5" ht="17.100000000000001" customHeight="1" x14ac:dyDescent="0.3">
      <c r="A10" s="1"/>
      <c r="B10" s="24" t="s">
        <v>32</v>
      </c>
      <c r="C10" s="7">
        <f>'Fane 10.1. Varige tillæg'!C18</f>
        <v>871780.22250000003</v>
      </c>
      <c r="D10" s="8" t="s">
        <v>3</v>
      </c>
      <c r="E10" s="1"/>
    </row>
    <row r="11" spans="1:5" ht="17.100000000000001" customHeight="1" x14ac:dyDescent="0.3">
      <c r="A11" s="1"/>
      <c r="B11" s="24" t="s">
        <v>33</v>
      </c>
      <c r="C11" s="9">
        <f>'Fane 10.1. Varige tillæg'!E18</f>
        <v>3498633.7311</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2380293.0438313033</v>
      </c>
      <c r="D16" s="8" t="s">
        <v>3</v>
      </c>
      <c r="E16" s="1"/>
    </row>
    <row r="17" spans="1:5" ht="17.100000000000001" customHeight="1" x14ac:dyDescent="0.3">
      <c r="A17" s="1"/>
      <c r="B17" s="24" t="s">
        <v>9</v>
      </c>
      <c r="C17" s="9">
        <f>-SUM(C9:C16)*'Fane 5. Individuelt eff. krav'!C9</f>
        <v>0</v>
      </c>
      <c r="D17" s="8" t="s">
        <v>3</v>
      </c>
      <c r="E17" s="1"/>
    </row>
    <row r="18" spans="1:5" ht="17.100000000000001" customHeight="1" x14ac:dyDescent="0.3">
      <c r="A18" s="1"/>
      <c r="B18" s="24" t="s">
        <v>21</v>
      </c>
      <c r="C18" s="9">
        <f>-'Fane 4.1. Gen. krav - drift'!C17</f>
        <v>-382191.60749417648</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37899957.301062666</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31725500.915410489</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0</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0</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0</v>
      </c>
      <c r="D28" s="11" t="s">
        <v>3</v>
      </c>
      <c r="E28" s="1"/>
    </row>
    <row r="29" spans="1:5" ht="15" customHeight="1" x14ac:dyDescent="0.3">
      <c r="A29" s="1"/>
      <c r="B29" s="25" t="s">
        <v>65</v>
      </c>
      <c r="C29" s="53"/>
      <c r="D29" s="19"/>
      <c r="E29" s="1"/>
    </row>
    <row r="30" spans="1:5" x14ac:dyDescent="0.3">
      <c r="A30" s="1"/>
      <c r="B30" s="58" t="s">
        <v>66</v>
      </c>
      <c r="C30" s="10">
        <f>'Fane 7. Kontrol af ØR2023'!C30</f>
        <v>-2535890.5003380105</v>
      </c>
      <c r="D30" s="11" t="s">
        <v>3</v>
      </c>
      <c r="E30" s="1"/>
    </row>
    <row r="31" spans="1:5" x14ac:dyDescent="0.3">
      <c r="A31" s="1"/>
      <c r="B31" s="25" t="s">
        <v>70</v>
      </c>
      <c r="C31" s="53"/>
      <c r="D31" s="19"/>
      <c r="E31" s="1"/>
    </row>
    <row r="32" spans="1:5" x14ac:dyDescent="0.3">
      <c r="A32" s="1"/>
      <c r="B32" s="58" t="s">
        <v>71</v>
      </c>
      <c r="C32" s="10">
        <f>'Fane 8. Skattesagen'!C14</f>
        <v>0</v>
      </c>
      <c r="D32" s="11" t="s">
        <v>3</v>
      </c>
      <c r="E32" s="1"/>
    </row>
    <row r="33" spans="1:5" x14ac:dyDescent="0.3">
      <c r="A33" s="1"/>
      <c r="B33" s="52" t="s">
        <v>69</v>
      </c>
      <c r="C33" s="29">
        <f>SUM(C20,C22,C28,C30,C32)</f>
        <v>67089567.716135152</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YSZlb88DZfzq8cbJXJqwwbukfuh7QhdFOG+w53V3c6Vc5Tp5DlAEPRwEDx6AkI+ofNEHUTrnLpwdLPypIhBpfA==" saltValue="jCnY7yCLsWI9iyTUrOndn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129</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37899957.301062666</v>
      </c>
      <c r="D9" s="8" t="s">
        <v>3</v>
      </c>
      <c r="E9" s="1"/>
    </row>
    <row r="10" spans="1:5" ht="15" customHeight="1" x14ac:dyDescent="0.3">
      <c r="A10" s="1"/>
      <c r="B10" s="47" t="s">
        <v>17</v>
      </c>
      <c r="C10" s="41">
        <f>C9*'Fane 13. Nøgletal'!C11</f>
        <v>2512767.1690604547</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drift'!C22</f>
        <v>-399380.29284961964</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40013344.177273497</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33828901.626102202</v>
      </c>
      <c r="D16" s="11" t="s">
        <v>3</v>
      </c>
      <c r="E16" s="1"/>
    </row>
    <row r="17" spans="1:5" x14ac:dyDescent="0.3">
      <c r="A17" s="1"/>
      <c r="B17" s="25" t="s">
        <v>65</v>
      </c>
      <c r="C17" s="53"/>
      <c r="D17" s="19"/>
      <c r="E17" s="1"/>
    </row>
    <row r="18" spans="1:5" ht="15" customHeight="1" x14ac:dyDescent="0.3">
      <c r="A18" s="1"/>
      <c r="B18" s="45" t="s">
        <v>66</v>
      </c>
      <c r="C18" s="10">
        <f>'Fane 7. Kontrol af ØR2023'!C30</f>
        <v>-2535890.5003380105</v>
      </c>
      <c r="D18" s="11" t="s">
        <v>3</v>
      </c>
      <c r="E18" s="1"/>
    </row>
    <row r="19" spans="1:5" x14ac:dyDescent="0.3">
      <c r="A19" s="1"/>
      <c r="B19" s="25" t="s">
        <v>70</v>
      </c>
      <c r="C19" s="53"/>
      <c r="D19" s="19"/>
      <c r="E19" s="1"/>
    </row>
    <row r="20" spans="1:5" x14ac:dyDescent="0.3">
      <c r="A20" s="1"/>
      <c r="B20" s="58" t="s">
        <v>71</v>
      </c>
      <c r="C20" s="10">
        <f>'Fane 8. Skattesagen'!C15</f>
        <v>0</v>
      </c>
      <c r="D20" s="11" t="s">
        <v>3</v>
      </c>
      <c r="E20" s="1"/>
    </row>
    <row r="21" spans="1:5" x14ac:dyDescent="0.3">
      <c r="A21" s="1"/>
      <c r="B21" s="52" t="s">
        <v>73</v>
      </c>
      <c r="C21" s="12">
        <f>SUM(C14,C16,C18,C20)</f>
        <v>71306355.303037673</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redOl1eQi7KJ2k6FWjy35YcvM8A0NPLb2CbVVrPhABStet9ZNvj3oBNqrO5RGTVf4y0ZFNdd/ownjL4XVWwMLg==" saltValue="j/2RS6IOSBLAgM5lXe/Ih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130</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108</v>
      </c>
      <c r="C9" s="7">
        <f>'Fane 2.2. Økonomisk ramme 2026'!C14</f>
        <v>40013344.177273497</v>
      </c>
      <c r="D9" s="8" t="s">
        <v>3</v>
      </c>
      <c r="E9" s="1"/>
    </row>
    <row r="10" spans="1:5" ht="15" customHeight="1" x14ac:dyDescent="0.3">
      <c r="A10" s="1"/>
      <c r="B10" s="47" t="s">
        <v>17</v>
      </c>
      <c r="C10" s="41">
        <f>C9*'Fane 13. Nøgletal'!C11</f>
        <v>2652884.7189532327</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drift'!C27</f>
        <v>-417342.02214023843</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42248886.874086484</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36071757.803912781</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Skattesagen'!C16</f>
        <v>0</v>
      </c>
      <c r="D20" s="11" t="s">
        <v>3</v>
      </c>
      <c r="E20" s="1"/>
    </row>
    <row r="21" spans="1:5" x14ac:dyDescent="0.3">
      <c r="A21" s="1"/>
      <c r="B21" s="52" t="s">
        <v>109</v>
      </c>
      <c r="C21" s="12">
        <f>SUM(C14,C16,C18,C20)</f>
        <v>78320644.677999258</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1RRwzzbKZrwa+EsQWCFSlALykWZ9GLqIr+PuAHXAzeMv2/oYt8i0EI2T5FSnm7hMTPijcibL1DKDH1E0vnlnZg==" saltValue="JPBVDl0OJKdPJouX/HQ8U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131</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132</v>
      </c>
      <c r="C9" s="7">
        <f>'Fane 2.3. Økonomisk ramme 2027'!C14</f>
        <v>42248886.874086484</v>
      </c>
      <c r="D9" s="8" t="s">
        <v>3</v>
      </c>
      <c r="E9" s="1"/>
    </row>
    <row r="10" spans="1:5" ht="15" customHeight="1" x14ac:dyDescent="0.3">
      <c r="A10" s="1"/>
      <c r="B10" s="47" t="s">
        <v>17</v>
      </c>
      <c r="C10" s="9">
        <f>C9*'Fane 13. Nøgletal'!C11</f>
        <v>2801101.199751934</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drift'!C32</f>
        <v>-436111.56224397355</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44613876.511594445</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38463315.346312203</v>
      </c>
      <c r="D16" s="11" t="s">
        <v>3</v>
      </c>
      <c r="E16" s="1"/>
    </row>
    <row r="17" spans="1:5" x14ac:dyDescent="0.3">
      <c r="A17" s="1"/>
      <c r="B17" s="25" t="s">
        <v>70</v>
      </c>
      <c r="C17" s="53"/>
      <c r="D17" s="19"/>
      <c r="E17" s="1"/>
    </row>
    <row r="18" spans="1:5" x14ac:dyDescent="0.3">
      <c r="A18" s="1"/>
      <c r="B18" s="58" t="s">
        <v>71</v>
      </c>
      <c r="C18" s="10">
        <f>'Fane 8. Skattesagen'!C17</f>
        <v>0</v>
      </c>
      <c r="D18" s="11" t="s">
        <v>3</v>
      </c>
      <c r="E18" s="1"/>
    </row>
    <row r="19" spans="1:5" x14ac:dyDescent="0.3">
      <c r="A19" s="1"/>
      <c r="B19" s="52" t="s">
        <v>133</v>
      </c>
      <c r="C19" s="12">
        <f>SUM(C14,C16,C18)</f>
        <v>83077191.85790664</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80rfbORb/Ug1IDCmXZw/W7BccP/h+XT7tPTgu+ZWQ61swc0g6IuisoPjqU2c0qOFmTUMMZECWxPmq5r/1XMkeA==" saltValue="x6XGC5zPabhDZWvQ7ELd3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134</v>
      </c>
      <c r="C3" s="96"/>
      <c r="D3" s="96"/>
      <c r="E3" s="1"/>
    </row>
    <row r="4" spans="1:5" ht="15" customHeight="1" x14ac:dyDescent="0.3">
      <c r="A4" s="1"/>
      <c r="B4" s="96"/>
      <c r="C4" s="96"/>
      <c r="D4" s="96"/>
      <c r="E4" s="1"/>
    </row>
    <row r="5" spans="1:5" ht="15" customHeight="1" x14ac:dyDescent="0.3">
      <c r="A5" s="1"/>
      <c r="B5" s="1"/>
      <c r="C5" s="1"/>
      <c r="D5" s="1"/>
      <c r="E5" s="1"/>
    </row>
    <row r="6" spans="1:5" ht="15" customHeight="1" x14ac:dyDescent="0.3">
      <c r="A6" s="1"/>
      <c r="B6" s="1"/>
      <c r="C6" s="1"/>
      <c r="D6" s="1"/>
      <c r="E6" s="1"/>
    </row>
    <row r="7" spans="1:5" x14ac:dyDescent="0.3">
      <c r="A7" s="1"/>
      <c r="B7" s="1"/>
      <c r="C7" s="1"/>
      <c r="D7" s="1"/>
      <c r="E7" s="1"/>
    </row>
    <row r="8" spans="1:5" x14ac:dyDescent="0.3">
      <c r="A8" s="1"/>
      <c r="B8" s="52" t="s">
        <v>135</v>
      </c>
      <c r="C8" s="53"/>
      <c r="D8" s="19"/>
      <c r="E8" s="1"/>
    </row>
    <row r="9" spans="1:5" x14ac:dyDescent="0.3">
      <c r="A9" s="1"/>
      <c r="B9" s="55" t="s">
        <v>63</v>
      </c>
      <c r="C9" s="7">
        <v>30207426.940781455</v>
      </c>
      <c r="D9" s="8" t="s">
        <v>3</v>
      </c>
      <c r="E9" s="1"/>
    </row>
    <row r="10" spans="1:5" x14ac:dyDescent="0.3">
      <c r="A10" s="1"/>
      <c r="B10" s="24" t="s">
        <v>32</v>
      </c>
      <c r="C10" s="7">
        <v>94113.902399999992</v>
      </c>
      <c r="D10" s="8" t="s">
        <v>3</v>
      </c>
      <c r="E10" s="1"/>
    </row>
    <row r="11" spans="1:5" ht="15" customHeight="1" x14ac:dyDescent="0.3">
      <c r="A11" s="1"/>
      <c r="B11" s="24" t="s">
        <v>33</v>
      </c>
      <c r="C11" s="9">
        <v>992727.7696</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1163201.2061894198</v>
      </c>
      <c r="D16" s="8" t="s">
        <v>3</v>
      </c>
      <c r="E16" s="1"/>
    </row>
    <row r="17" spans="1:5" x14ac:dyDescent="0.3">
      <c r="A17" s="1"/>
      <c r="B17" s="24" t="s">
        <v>9</v>
      </c>
      <c r="C17" s="9">
        <v>-578076.645451113</v>
      </c>
      <c r="D17" s="8" t="s">
        <v>3</v>
      </c>
      <c r="E17" s="1"/>
    </row>
    <row r="18" spans="1:5" x14ac:dyDescent="0.3">
      <c r="A18" s="1"/>
      <c r="B18" s="24" t="s">
        <v>21</v>
      </c>
      <c r="C18" s="9">
        <v>-347951.2623942236</v>
      </c>
      <c r="D18" s="8" t="s">
        <v>3</v>
      </c>
      <c r="E18" s="1"/>
    </row>
    <row r="19" spans="1:5" x14ac:dyDescent="0.3">
      <c r="A19" s="1"/>
      <c r="B19" s="24" t="s">
        <v>22</v>
      </c>
      <c r="C19" s="9">
        <v>0</v>
      </c>
      <c r="D19" s="8" t="s">
        <v>3</v>
      </c>
      <c r="E19" s="1"/>
    </row>
    <row r="20" spans="1:5" x14ac:dyDescent="0.3">
      <c r="A20" s="1"/>
      <c r="B20" s="73" t="s">
        <v>19</v>
      </c>
      <c r="C20" s="10">
        <v>31531441.911125537</v>
      </c>
      <c r="D20" s="11" t="s">
        <v>3</v>
      </c>
      <c r="E20" s="1"/>
    </row>
    <row r="21" spans="1:5" x14ac:dyDescent="0.3">
      <c r="A21" s="1"/>
      <c r="B21" s="52" t="s">
        <v>11</v>
      </c>
      <c r="C21" s="53"/>
      <c r="D21" s="19"/>
      <c r="E21" s="1"/>
    </row>
    <row r="22" spans="1:5" x14ac:dyDescent="0.3">
      <c r="A22" s="1"/>
      <c r="B22" s="54" t="s">
        <v>11</v>
      </c>
      <c r="C22" s="10">
        <v>37139107.01086656</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50">
        <v>0</v>
      </c>
      <c r="D28" s="11" t="s">
        <v>3</v>
      </c>
      <c r="E28" s="1"/>
    </row>
    <row r="29" spans="1:5" x14ac:dyDescent="0.3">
      <c r="A29" s="1"/>
      <c r="B29" s="25" t="s">
        <v>65</v>
      </c>
      <c r="C29" s="53"/>
      <c r="D29" s="19"/>
      <c r="E29" s="1"/>
    </row>
    <row r="30" spans="1:5" x14ac:dyDescent="0.3">
      <c r="A30" s="1"/>
      <c r="B30" s="58" t="s">
        <v>66</v>
      </c>
      <c r="C30" s="10">
        <v>-6978752</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52" t="s">
        <v>67</v>
      </c>
      <c r="C33" s="29">
        <v>61691796.921992093</v>
      </c>
      <c r="D33" s="19" t="s">
        <v>3</v>
      </c>
      <c r="E33" s="1"/>
    </row>
    <row r="34" spans="1:5" ht="30" customHeight="1" x14ac:dyDescent="0.3">
      <c r="A34" s="1"/>
      <c r="B34" s="97" t="s">
        <v>193</v>
      </c>
      <c r="C34" s="97"/>
      <c r="D34" s="97"/>
      <c r="E34" s="1"/>
    </row>
    <row r="35" spans="1:5" ht="27.75" customHeight="1"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zNq5hqRFhlR+Jy7+vEskbDzH1D4wazCzYPUzoJAyKQM0hykGtpWYk94r90edsmfgtpnYfqXERAinFNeAUKz2CA==" saltValue="H3YTKC7uMwZXxcHODg9m7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167</v>
      </c>
      <c r="C9" s="22">
        <v>17295844.813997261</v>
      </c>
      <c r="D9" s="14" t="s">
        <v>3</v>
      </c>
      <c r="E9" s="1"/>
    </row>
    <row r="10" spans="1:5" x14ac:dyDescent="0.3">
      <c r="A10" s="1"/>
      <c r="B10" s="56" t="s">
        <v>110</v>
      </c>
      <c r="C10" s="22">
        <f>('Fane 3. Omkostninger i ØR2024'!C10+'Fane 3. Omkostninger i ØR2024'!C12+'Fane 3. Omkostninger i ØR2024'!C14)*(1+'Fane 13. Nøgletal'!C10)</f>
        <v>101718.30571392</v>
      </c>
      <c r="D10" s="14" t="s">
        <v>3</v>
      </c>
      <c r="E10" s="1"/>
    </row>
    <row r="11" spans="1:5" x14ac:dyDescent="0.3">
      <c r="A11" s="1"/>
      <c r="B11" s="56" t="s">
        <v>81</v>
      </c>
      <c r="C11" s="22">
        <f>C9*'Fane 13. Nøgletal'!C23+C10*'Fane 13. Nøgletal'!C23</f>
        <v>347951.2623942236</v>
      </c>
      <c r="D11" s="14" t="s">
        <v>3</v>
      </c>
      <c r="E11" s="1"/>
    </row>
    <row r="12" spans="1:5" x14ac:dyDescent="0.3">
      <c r="A12" s="1"/>
      <c r="B12" s="52"/>
      <c r="C12" s="31"/>
      <c r="D12" s="19"/>
      <c r="E12" s="1"/>
    </row>
    <row r="13" spans="1:5" x14ac:dyDescent="0.3">
      <c r="A13" s="1"/>
      <c r="B13" s="1"/>
      <c r="C13" s="32"/>
      <c r="D13" s="1"/>
      <c r="E13" s="1"/>
    </row>
    <row r="14" spans="1:5" x14ac:dyDescent="0.3">
      <c r="A14" s="1"/>
      <c r="B14" s="98" t="s">
        <v>153</v>
      </c>
      <c r="C14" s="99"/>
      <c r="D14" s="100"/>
      <c r="E14" s="1"/>
    </row>
    <row r="15" spans="1:5" x14ac:dyDescent="0.3">
      <c r="A15" s="1"/>
      <c r="B15" s="56" t="s">
        <v>168</v>
      </c>
      <c r="C15" s="22">
        <f>(C9+C10-C11)*(1+'Fane 13. Nøgletal'!C11)</f>
        <v>18180001.123457074</v>
      </c>
      <c r="D15" s="14" t="s">
        <v>3</v>
      </c>
      <c r="E15" s="1"/>
    </row>
    <row r="16" spans="1:5" x14ac:dyDescent="0.3">
      <c r="A16" s="1"/>
      <c r="B16" s="56" t="s">
        <v>154</v>
      </c>
      <c r="C16" s="22">
        <f>('Fane 2.1. Økonomisk ramme 2025'!C10+'Fane 2.1. Økonomisk ramme 2025'!C12+'Fane 2.1. Økonomisk ramme 2025'!C14)*(1+'Fane 13. Nøgletal'!C11)</f>
        <v>929579.25125175004</v>
      </c>
      <c r="D16" s="14" t="s">
        <v>3</v>
      </c>
      <c r="E16" s="1"/>
    </row>
    <row r="17" spans="1:5" x14ac:dyDescent="0.3">
      <c r="A17" s="1"/>
      <c r="B17" s="56" t="s">
        <v>155</v>
      </c>
      <c r="C17" s="22">
        <f>(C15+C16)*'Fane 13. Nøgletal'!C23</f>
        <v>382191.60749417648</v>
      </c>
      <c r="D17" s="14" t="s">
        <v>3</v>
      </c>
      <c r="E17" s="1"/>
    </row>
    <row r="18" spans="1:5" x14ac:dyDescent="0.3">
      <c r="A18" s="1"/>
      <c r="B18" s="52"/>
      <c r="C18" s="31"/>
      <c r="D18" s="19"/>
      <c r="E18" s="1"/>
    </row>
    <row r="19" spans="1:5" x14ac:dyDescent="0.3">
      <c r="A19" s="1"/>
      <c r="B19" s="1"/>
      <c r="C19" s="32"/>
      <c r="D19" s="1"/>
      <c r="E19" s="1"/>
    </row>
    <row r="20" spans="1:5" x14ac:dyDescent="0.3">
      <c r="A20" s="1"/>
      <c r="B20" s="98" t="s">
        <v>170</v>
      </c>
      <c r="C20" s="99"/>
      <c r="D20" s="100"/>
      <c r="E20" s="1"/>
    </row>
    <row r="21" spans="1:5" x14ac:dyDescent="0.3">
      <c r="A21" s="1"/>
      <c r="B21" s="56" t="s">
        <v>169</v>
      </c>
      <c r="C21" s="48">
        <f>(C15+C16-C17)*(1+'Fane 13. Nøgletal'!C11)</f>
        <v>19969014.642480981</v>
      </c>
      <c r="D21" s="14" t="s">
        <v>3</v>
      </c>
      <c r="E21" s="1"/>
    </row>
    <row r="22" spans="1:5" x14ac:dyDescent="0.3">
      <c r="A22" s="1"/>
      <c r="B22" s="56" t="s">
        <v>171</v>
      </c>
      <c r="C22" s="48">
        <f>(C21)*'Fane 13. Nøgletal'!C23</f>
        <v>399380.29284961964</v>
      </c>
      <c r="D22" s="14" t="s">
        <v>3</v>
      </c>
      <c r="E22" s="1"/>
    </row>
    <row r="23" spans="1:5" x14ac:dyDescent="0.3">
      <c r="A23" s="1"/>
      <c r="B23" s="52"/>
      <c r="C23" s="31"/>
      <c r="D23" s="19"/>
      <c r="E23" s="1"/>
    </row>
    <row r="24" spans="1:5" x14ac:dyDescent="0.3">
      <c r="A24" s="1"/>
      <c r="B24" s="1"/>
      <c r="C24" s="32"/>
      <c r="D24" s="1"/>
      <c r="E24" s="1"/>
    </row>
    <row r="25" spans="1:5" x14ac:dyDescent="0.3">
      <c r="A25" s="1"/>
      <c r="B25" s="98" t="s">
        <v>116</v>
      </c>
      <c r="C25" s="99"/>
      <c r="D25" s="100"/>
      <c r="E25" s="1"/>
    </row>
    <row r="26" spans="1:5" x14ac:dyDescent="0.3">
      <c r="A26" s="1"/>
      <c r="B26" s="56" t="s">
        <v>117</v>
      </c>
      <c r="C26" s="48">
        <f>(C21-C22)*(1+'Fane 13. Nøgletal'!C11)</f>
        <v>20867101.107011922</v>
      </c>
      <c r="D26" s="14" t="s">
        <v>3</v>
      </c>
      <c r="E26" s="1"/>
    </row>
    <row r="27" spans="1:5" x14ac:dyDescent="0.3">
      <c r="A27" s="1"/>
      <c r="B27" s="56" t="s">
        <v>118</v>
      </c>
      <c r="C27" s="48">
        <f>(C26)*'Fane 13. Nøgletal'!C23</f>
        <v>417342.02214023843</v>
      </c>
      <c r="D27" s="14" t="s">
        <v>3</v>
      </c>
      <c r="E27" s="1"/>
    </row>
    <row r="28" spans="1:5" x14ac:dyDescent="0.3">
      <c r="A28" s="1"/>
      <c r="B28" s="52"/>
      <c r="C28" s="42"/>
      <c r="D28" s="19"/>
      <c r="E28" s="1"/>
    </row>
    <row r="29" spans="1:5" x14ac:dyDescent="0.3">
      <c r="A29" s="1"/>
      <c r="B29" s="1"/>
      <c r="C29" s="32"/>
      <c r="D29" s="1"/>
      <c r="E29" s="1"/>
    </row>
    <row r="30" spans="1:5" x14ac:dyDescent="0.3">
      <c r="A30" s="1"/>
      <c r="B30" s="98" t="s">
        <v>136</v>
      </c>
      <c r="C30" s="99"/>
      <c r="D30" s="100"/>
      <c r="E30" s="1"/>
    </row>
    <row r="31" spans="1:5" x14ac:dyDescent="0.3">
      <c r="A31" s="1"/>
      <c r="B31" s="56" t="s">
        <v>137</v>
      </c>
      <c r="C31" s="48">
        <f>(C26-C27)*(1+'Fane 13. Nøgletal'!C11)</f>
        <v>21805578.112198677</v>
      </c>
      <c r="D31" s="14" t="s">
        <v>3</v>
      </c>
      <c r="E31" s="1"/>
    </row>
    <row r="32" spans="1:5" x14ac:dyDescent="0.3">
      <c r="A32" s="1"/>
      <c r="B32" s="56" t="s">
        <v>138</v>
      </c>
      <c r="C32" s="48">
        <f>(C31)*'Fane 13. Nøgletal'!C23</f>
        <v>436111.56224397355</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1caRZHraRPfus6yPRHO0xtAiuvWirmh9mKQYmYyFOJF9XewdNEvOl+JrQKncwmasoOAC7gIYpeLtCzCCy7BYkg==" saltValue="kCATgP2jqNox8r+v3bWxYA=="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162</v>
      </c>
      <c r="C9" s="48">
        <v>17434706.300008785</v>
      </c>
      <c r="D9" s="14" t="s">
        <v>3</v>
      </c>
      <c r="E9" s="1"/>
    </row>
    <row r="10" spans="1:5" x14ac:dyDescent="0.3">
      <c r="A10" s="1"/>
      <c r="B10" s="56" t="s">
        <v>113</v>
      </c>
      <c r="C10" s="48">
        <f>('Fane 3. Omkostninger i ØR2024'!C11+'Fane 3. Omkostninger i ØR2024'!C13+'Fane 3. Omkostninger i ØR2024'!C15)*(1+'Fane 13. Nøgletal'!C10)</f>
        <v>1072940.1733836799</v>
      </c>
      <c r="D10" s="14" t="s">
        <v>3</v>
      </c>
      <c r="E10" s="1"/>
    </row>
    <row r="11" spans="1:5" x14ac:dyDescent="0.3">
      <c r="A11" s="1"/>
      <c r="B11" s="56" t="s">
        <v>114</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156</v>
      </c>
      <c r="C14" s="99"/>
      <c r="D14" s="100"/>
      <c r="E14" s="1"/>
    </row>
    <row r="15" spans="1:5" x14ac:dyDescent="0.3">
      <c r="A15" s="1"/>
      <c r="B15" s="56" t="s">
        <v>163</v>
      </c>
      <c r="C15" s="48">
        <f>(C9+C10-C11)*(1+'Fane 13. Nøgletal'!C11)</f>
        <v>19734703.434578385</v>
      </c>
      <c r="D15" s="14" t="s">
        <v>3</v>
      </c>
      <c r="E15" s="1"/>
    </row>
    <row r="16" spans="1:5" x14ac:dyDescent="0.3">
      <c r="A16" s="1"/>
      <c r="B16" s="56" t="s">
        <v>157</v>
      </c>
      <c r="C16" s="48">
        <f>('Fane 2.1. Økonomisk ramme 2025'!C11+'Fane 2.1. Økonomisk ramme 2025'!C13+'Fane 2.1. Økonomisk ramme 2025'!C15)*(1+'Fane 13. Nøgletal'!C11)</f>
        <v>3730593.1474719299</v>
      </c>
      <c r="D16" s="14" t="s">
        <v>3</v>
      </c>
      <c r="E16" s="1"/>
    </row>
    <row r="17" spans="1:5" x14ac:dyDescent="0.3">
      <c r="A17" s="1"/>
      <c r="B17" s="56" t="s">
        <v>158</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166</v>
      </c>
      <c r="C20" s="99"/>
      <c r="D20" s="100"/>
      <c r="E20" s="1"/>
    </row>
    <row r="21" spans="1:5" x14ac:dyDescent="0.3">
      <c r="A21" s="1"/>
      <c r="B21" s="56" t="s">
        <v>164</v>
      </c>
      <c r="C21" s="48">
        <f>(C15+C16-C17)*(1+'Fane 13. Nøgletal'!C11)</f>
        <v>25021045.745440252</v>
      </c>
      <c r="D21" s="14" t="s">
        <v>3</v>
      </c>
      <c r="E21" s="1"/>
    </row>
    <row r="22" spans="1:5" x14ac:dyDescent="0.3">
      <c r="A22" s="1"/>
      <c r="B22" s="56" t="s">
        <v>165</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119</v>
      </c>
      <c r="C25" s="99"/>
      <c r="D25" s="100"/>
      <c r="E25" s="1"/>
    </row>
    <row r="26" spans="1:5" x14ac:dyDescent="0.3">
      <c r="A26" s="1"/>
      <c r="B26" s="56" t="s">
        <v>120</v>
      </c>
      <c r="C26" s="48">
        <f>(C21-C22)*(1+'Fane 13. Nøgletal'!C11)</f>
        <v>26679941.078362942</v>
      </c>
      <c r="D26" s="14" t="s">
        <v>3</v>
      </c>
      <c r="E26" s="1"/>
    </row>
    <row r="27" spans="1:5" x14ac:dyDescent="0.3">
      <c r="A27" s="1"/>
      <c r="B27" s="56" t="s">
        <v>121</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139</v>
      </c>
      <c r="C30" s="99"/>
      <c r="D30" s="100"/>
      <c r="E30" s="1"/>
    </row>
    <row r="31" spans="1:5" x14ac:dyDescent="0.3">
      <c r="A31" s="1"/>
      <c r="B31" s="56" t="s">
        <v>140</v>
      </c>
      <c r="C31" s="48">
        <f>(C26-C27)*(1+'Fane 13. Nøgletal'!C11)</f>
        <v>28448821.171858404</v>
      </c>
      <c r="D31" s="14" t="s">
        <v>3</v>
      </c>
      <c r="E31" s="1"/>
    </row>
    <row r="32" spans="1:5" x14ac:dyDescent="0.3">
      <c r="A32" s="1"/>
      <c r="B32" s="56" t="s">
        <v>141</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jRDRvScyX/Xs1dNi1poiMaOx2suLu5Hat3/5fvvaiIZpDk+tRZca5xhfF8BYS+db5YldWvjjztAB+BMV9/cboA==" saltValue="xnPG5AwZsQhp6BJhIRgdvA=="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160</v>
      </c>
      <c r="C9" s="44">
        <v>0</v>
      </c>
      <c r="D9" s="1"/>
    </row>
    <row r="10" spans="1:4" x14ac:dyDescent="0.3">
      <c r="A10" s="1"/>
      <c r="B10" s="52"/>
      <c r="C10" s="19"/>
      <c r="D10" s="1"/>
    </row>
    <row r="11" spans="1:4" ht="15" customHeight="1" x14ac:dyDescent="0.3">
      <c r="A11" s="1"/>
      <c r="B11" s="103" t="s">
        <v>161</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iZ0nUewVNsLr+Gxfpi6FKY7CMScLYShIWxakgCdEw0QDJKDQHDbdPkB0tIWKt4decCBUQuEwXTub/U+ZZU7n3A==" saltValue="NgI4rYkxXI1oQWwOcWEsh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2024-09-03T18:59:36Z</dcterms:modified>
</cp:coreProperties>
</file>