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ALSNÆS SPILDEVAND AS (S03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E22" i="32" l="1"/>
  <c r="C16" i="15" l="1"/>
  <c r="E24" i="32" l="1"/>
  <c r="E28" i="32" s="1"/>
  <c r="C32" i="2" s="1"/>
  <c r="E32" i="32" l="1"/>
  <c r="E34" i="32" s="1"/>
  <c r="C14" i="19"/>
  <c r="C20" i="23" l="1"/>
  <c r="C20" i="22"/>
  <c r="C20" i="15"/>
  <c r="E34" i="27"/>
  <c r="C22" i="23"/>
  <c r="C22" i="22"/>
  <c r="C22" i="15"/>
  <c r="C36" i="2"/>
  <c r="G18" i="41" l="1"/>
  <c r="C11" i="29" l="1"/>
  <c r="E11" i="29"/>
  <c r="E13" i="39"/>
  <c r="C13" i="39"/>
  <c r="J11" i="11"/>
  <c r="H11" i="11"/>
  <c r="E16" i="27" l="1"/>
  <c r="E29" i="20" l="1"/>
  <c r="E23" i="20"/>
  <c r="E17" i="20"/>
  <c r="E11" i="20"/>
  <c r="F10" i="11" l="1"/>
  <c r="F11" i="11" s="1"/>
  <c r="E12" i="29" l="1"/>
  <c r="C12" i="29"/>
  <c r="C12" i="21" l="1"/>
  <c r="C13" i="21" s="1"/>
  <c r="C12" i="2" l="1"/>
  <c r="C15" i="2" l="1"/>
  <c r="C14" i="2"/>
  <c r="G6" i="36" l="1"/>
  <c r="C14" i="39" l="1"/>
  <c r="E14"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9" i="37" s="1"/>
  <c r="C20" i="37" l="1"/>
  <c r="C10" i="2" s="1"/>
  <c r="G44" i="30" s="1"/>
  <c r="G35" i="36"/>
  <c r="G37" i="36" l="1"/>
  <c r="E19" i="27" s="1"/>
  <c r="G41" i="36" l="1"/>
  <c r="G27" i="30"/>
  <c r="G31" i="30" l="1"/>
  <c r="E10" i="37"/>
  <c r="E19" i="37" s="1"/>
  <c r="G33" i="30" l="1"/>
  <c r="G37" i="30" s="1"/>
  <c r="G39" i="30" s="1"/>
  <c r="E20"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<sst xmlns="http://schemas.openxmlformats.org/spreadsheetml/2006/main" count="624" uniqueCount="288">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</sst>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T62iggLuIrmbLVa8EpRrZ1cVZ24VJ7hgCZ5QIb6xTnqOhjRnuwvBD0T8G0KdLv5cqY3CMPjCL0zhnNBVBC3R+g==" saltValue="Dre3c713qARJgFKnT2LYR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1017178</v>
      </c>
      <c r="D10" s="14" t="s">
        <v>3</v>
      </c>
      <c r="E10" s="1"/>
      <c r="F10" s="1"/>
    </row>
    <row r="11" spans="1:6" x14ac:dyDescent="0.25">
      <c r="A11" s="1"/>
      <c r="B11" s="94" t="s">
        <v>266</v>
      </c>
      <c r="C11" s="9">
        <v>87672</v>
      </c>
      <c r="D11" s="14" t="s">
        <v>3</v>
      </c>
      <c r="E11" s="1"/>
      <c r="F11" s="1"/>
    </row>
    <row r="12" spans="1:6" x14ac:dyDescent="0.25">
      <c r="A12" s="1"/>
      <c r="B12" s="94" t="s">
        <v>267</v>
      </c>
      <c r="C12" s="9">
        <v>229596</v>
      </c>
      <c r="D12" s="14" t="s">
        <v>3</v>
      </c>
      <c r="E12" s="1"/>
      <c r="F12" s="1"/>
    </row>
    <row r="13" spans="1:6" x14ac:dyDescent="0.25">
      <c r="A13" s="1"/>
      <c r="B13" s="94" t="s">
        <v>268</v>
      </c>
      <c r="C13" s="9">
        <v>719377</v>
      </c>
      <c r="D13" s="14" t="s">
        <v>3</v>
      </c>
      <c r="E13" s="1"/>
      <c r="F13" s="1"/>
    </row>
    <row r="14" spans="1:6" x14ac:dyDescent="0.25">
      <c r="A14" s="1"/>
      <c r="B14" s="32" t="s">
        <v>200</v>
      </c>
      <c r="C14" s="12">
        <f>SUM(C10:C13)</f>
        <v>2053823</v>
      </c>
      <c r="D14" s="13" t="s">
        <v>3</v>
      </c>
      <c r="E14" s="1"/>
      <c r="F14" s="1"/>
    </row>
    <row r="15" spans="1:6" x14ac:dyDescent="0.25">
      <c r="A15" s="1"/>
      <c r="B15" s="32" t="s">
        <v>201</v>
      </c>
      <c r="C15" s="12">
        <f>C14*(1+'Fane 15. Nøgletal'!C15)^2</f>
        <v>2202658.1307172803</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7SlZ2+7rtu18F4YnlEAnG/eVZljCId+fHTekfM8u62D59LmSZ6PFHsZ+UzcSg1bElu74dI8sIyk/GfUkgheGww==" saltValue="Vrt745AAI4LgF0GGfZFsDA=="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-8839336.3774542958</v>
      </c>
      <c r="F9" s="14" t="s">
        <v>3</v>
      </c>
      <c r="G9" s="1"/>
    </row>
    <row r="10" spans="1:7" x14ac:dyDescent="0.25">
      <c r="A10" s="1"/>
      <c r="B10" s="136" t="s">
        <v>263</v>
      </c>
      <c r="C10" s="137"/>
      <c r="D10" s="138"/>
      <c r="E10" s="9">
        <v>-1002576.9906034917</v>
      </c>
      <c r="F10" s="14" t="s">
        <v>3</v>
      </c>
      <c r="G10" s="1"/>
    </row>
    <row r="11" spans="1:7" x14ac:dyDescent="0.25">
      <c r="A11" s="1"/>
      <c r="B11" s="32"/>
      <c r="C11" s="27"/>
      <c r="D11" s="27"/>
      <c r="E11" s="27"/>
      <c r="F11" s="19"/>
      <c r="G11" s="1"/>
    </row>
    <row r="12" spans="1:7" ht="85.5" customHeight="1" x14ac:dyDescent="0.25">
      <c r="A12" s="1"/>
      <c r="B12" s="121" t="s">
        <v>286</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281</v>
      </c>
      <c r="C15" s="137"/>
      <c r="D15" s="138"/>
      <c r="E15" s="9">
        <v>-501288.68872714788</v>
      </c>
      <c r="F15" s="14" t="s">
        <v>3</v>
      </c>
      <c r="G15" s="1"/>
    </row>
    <row r="16" spans="1:7" x14ac:dyDescent="0.25">
      <c r="A16" s="1"/>
      <c r="B16" s="136" t="s">
        <v>282</v>
      </c>
      <c r="C16" s="137"/>
      <c r="D16" s="138"/>
      <c r="E16" s="9">
        <v>-501288.68872714788</v>
      </c>
      <c r="F16" s="14" t="s">
        <v>3</v>
      </c>
      <c r="G16" s="1"/>
    </row>
    <row r="17" spans="1:7" x14ac:dyDescent="0.25">
      <c r="A17" s="1"/>
      <c r="B17" s="32"/>
      <c r="C17" s="27"/>
      <c r="D17" s="27"/>
      <c r="E17" s="27"/>
      <c r="F17" s="19"/>
      <c r="G17" s="1"/>
    </row>
    <row r="18" spans="1:7" ht="31.5" customHeight="1" x14ac:dyDescent="0.25">
      <c r="A18" s="1"/>
      <c r="B18" s="121" t="s">
        <v>287</v>
      </c>
      <c r="C18" s="122"/>
      <c r="D18" s="122"/>
      <c r="E18" s="122"/>
      <c r="F18" s="123"/>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70364342.059481651</v>
      </c>
      <c r="F21" s="14" t="s">
        <v>3</v>
      </c>
      <c r="G21" s="1"/>
    </row>
    <row r="22" spans="1:7" x14ac:dyDescent="0.25">
      <c r="A22" s="1"/>
      <c r="B22" s="91" t="s">
        <v>207</v>
      </c>
      <c r="C22" s="92"/>
      <c r="D22" s="93"/>
      <c r="E22" s="9">
        <f>72264802-250000</f>
        <v>72014802</v>
      </c>
      <c r="F22" s="14" t="s">
        <v>3</v>
      </c>
      <c r="G22" s="1"/>
    </row>
    <row r="23" spans="1:7" x14ac:dyDescent="0.25">
      <c r="A23" s="1"/>
      <c r="B23" s="91" t="s">
        <v>33</v>
      </c>
      <c r="C23" s="92"/>
      <c r="D23" s="93"/>
      <c r="E23" s="9">
        <v>250000</v>
      </c>
      <c r="F23" s="14" t="s">
        <v>3</v>
      </c>
      <c r="G23" s="1"/>
    </row>
    <row r="24" spans="1:7" x14ac:dyDescent="0.25">
      <c r="A24" s="1"/>
      <c r="B24" s="89" t="s">
        <v>269</v>
      </c>
      <c r="C24" s="90"/>
      <c r="D24" s="96"/>
      <c r="E24" s="72">
        <f>E21-(E22-E23)</f>
        <v>-1400459.9405183494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283</v>
      </c>
      <c r="C27" s="132"/>
      <c r="D27" s="132"/>
      <c r="E27" s="132"/>
      <c r="F27" s="133"/>
      <c r="G27" s="1"/>
    </row>
    <row r="28" spans="1:7" x14ac:dyDescent="0.25">
      <c r="A28" s="1"/>
      <c r="B28" s="134" t="s">
        <v>284</v>
      </c>
      <c r="C28" s="135"/>
      <c r="D28" s="154"/>
      <c r="E28" s="73">
        <f>IF(AND(E9&gt;0,(E9+E24)&gt;0),0,IF(AND(E9&gt;0,(E9+E24)&lt;0),0,IF(AND(E9&lt;0,E24&gt;0,E10=0),0,IF(AND(E9&lt;0,E24&gt;0,ABS(E10)&lt;ABS(E24)),ABS(E16),IF(AND(E9&lt;0,E24&gt;0,ABS(E10)&gt;ABS(E24),ABS(E16)&gt;ABS(E24)),-(ABS(E16)-ABS(E24)),IF(AND(E9&lt;0,E24&gt;0,ABS(E10)&gt;ABS(E24),ABS(E16)&lt;ABS(E24)),E24-ABS(E16),IF(AND(E9&lt;0,E24&lt;0),E16,0)))))))</f>
        <v>-501288.68872714788</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-1400459.9405183494</v>
      </c>
      <c r="F32" s="14" t="s">
        <v>3</v>
      </c>
      <c r="G32" s="1"/>
    </row>
    <row r="33" spans="1:7" x14ac:dyDescent="0.25">
      <c r="A33" s="1"/>
      <c r="B33" s="155" t="s">
        <v>102</v>
      </c>
      <c r="C33" s="156"/>
      <c r="D33" s="157"/>
      <c r="E33" s="9">
        <v>4</v>
      </c>
      <c r="F33" s="14" t="s">
        <v>20</v>
      </c>
      <c r="G33" s="1"/>
    </row>
    <row r="34" spans="1:7" x14ac:dyDescent="0.25">
      <c r="A34" s="1"/>
      <c r="B34" s="150" t="s">
        <v>144</v>
      </c>
      <c r="C34" s="150"/>
      <c r="D34" s="150"/>
      <c r="E34" s="73">
        <f>E32/E33</f>
        <v>-350114.98512958735</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algorithmName="SHA-512" hashValue="YQvxAinGGTM8aRJJLOZ1Z4L3k5c1fTh9/kdr/zq41CoDC1XMKsbbRIhm4sIupXaczTiIiw8drwdmWzqz4/x3Wg==" saltValue="c5bnlxiALiavCIeECb/sV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8" t="s">
        <v>272</v>
      </c>
      <c r="C10" s="159"/>
      <c r="D10" s="159"/>
      <c r="E10" s="159"/>
      <c r="F10" s="160"/>
      <c r="G10" s="9">
        <v>0</v>
      </c>
      <c r="H10" s="9" t="s">
        <v>3</v>
      </c>
      <c r="I10" s="1"/>
    </row>
    <row r="11" spans="1:9" x14ac:dyDescent="0.25">
      <c r="A11" s="1"/>
      <c r="B11" s="158" t="s">
        <v>273</v>
      </c>
      <c r="C11" s="159"/>
      <c r="D11" s="159"/>
      <c r="E11" s="159"/>
      <c r="F11" s="160"/>
      <c r="G11" s="9">
        <v>0</v>
      </c>
      <c r="H11" s="9" t="s">
        <v>3</v>
      </c>
      <c r="I11" s="1"/>
    </row>
    <row r="12" spans="1:9" x14ac:dyDescent="0.25">
      <c r="A12" s="1"/>
      <c r="B12" s="158" t="s">
        <v>274</v>
      </c>
      <c r="C12" s="159"/>
      <c r="D12" s="159"/>
      <c r="E12" s="159"/>
      <c r="F12" s="160"/>
      <c r="G12" s="9">
        <v>0</v>
      </c>
      <c r="H12" s="9" t="s">
        <v>3</v>
      </c>
      <c r="I12" s="1"/>
    </row>
    <row r="13" spans="1:9" x14ac:dyDescent="0.25">
      <c r="A13" s="1"/>
      <c r="B13" s="158" t="s">
        <v>275</v>
      </c>
      <c r="C13" s="159"/>
      <c r="D13" s="159"/>
      <c r="E13" s="159"/>
      <c r="F13" s="160"/>
      <c r="G13" s="9">
        <v>0</v>
      </c>
      <c r="H13" s="9" t="s">
        <v>3</v>
      </c>
      <c r="I13" s="1"/>
    </row>
    <row r="14" spans="1:9" x14ac:dyDescent="0.25">
      <c r="A14" s="1"/>
      <c r="B14" s="158" t="s">
        <v>276</v>
      </c>
      <c r="C14" s="159"/>
      <c r="D14" s="159"/>
      <c r="E14" s="159"/>
      <c r="F14" s="160"/>
      <c r="G14" s="9">
        <v>0</v>
      </c>
      <c r="H14" s="9" t="s">
        <v>3</v>
      </c>
      <c r="I14" s="1"/>
    </row>
    <row r="15" spans="1:9" x14ac:dyDescent="0.25">
      <c r="A15" s="1"/>
      <c r="B15" s="158" t="s">
        <v>277</v>
      </c>
      <c r="C15" s="159"/>
      <c r="D15" s="159"/>
      <c r="E15" s="159"/>
      <c r="F15" s="160"/>
      <c r="G15" s="9">
        <v>0</v>
      </c>
      <c r="H15" s="9" t="s">
        <v>3</v>
      </c>
      <c r="I15" s="1"/>
    </row>
    <row r="16" spans="1:9" x14ac:dyDescent="0.25">
      <c r="A16" s="1"/>
      <c r="B16" s="158" t="s">
        <v>278</v>
      </c>
      <c r="C16" s="159"/>
      <c r="D16" s="159"/>
      <c r="E16" s="159"/>
      <c r="F16" s="160"/>
      <c r="G16" s="9">
        <v>0</v>
      </c>
      <c r="H16" s="9" t="s">
        <v>3</v>
      </c>
      <c r="I16" s="1"/>
    </row>
    <row r="17" spans="1:9" x14ac:dyDescent="0.25">
      <c r="A17" s="1"/>
      <c r="B17" s="158" t="s">
        <v>279</v>
      </c>
      <c r="C17" s="159"/>
      <c r="D17" s="159"/>
      <c r="E17" s="159"/>
      <c r="F17" s="160"/>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gf6V1dgG1+DYeTKbbaGjsJrnDqTXOYChH2Y+Sz6QkEyCqfuY1hxXeqXZVxL8SLW6Su8jc9zp/JvBQLVHufeXeg==" saltValue="2cmsrJJuS9Cf5lNh6IyPAQ=="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4"/>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c r="F14" s="8" t="s">
        <v>3</v>
      </c>
      <c r="G14" s="1"/>
    </row>
    <row r="15" spans="1:7" x14ac:dyDescent="0.25">
      <c r="A15" s="1"/>
      <c r="B15" s="121" t="s">
        <v>211</v>
      </c>
      <c r="C15" s="122"/>
      <c r="D15" s="123"/>
      <c r="E15" s="9"/>
      <c r="F15" s="8" t="s">
        <v>3</v>
      </c>
      <c r="G15" s="1"/>
    </row>
    <row r="16" spans="1:7" x14ac:dyDescent="0.25">
      <c r="A16" s="1"/>
      <c r="B16" s="134" t="s">
        <v>101</v>
      </c>
      <c r="C16" s="135"/>
      <c r="D16" s="154"/>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d1y3oZwh9c6ZNyR3PZvesmNRhMR/wj7JrDGOILS7IfBYOMRDQv/mw/bGXc7fFbuthyT4yFUUF+qmU/u3tY3fQ==" saltValue="tXC6PcRs4SLQFfNcp40Zf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1" t="s">
        <v>245</v>
      </c>
      <c r="E9" s="162"/>
      <c r="F9" s="161" t="s">
        <v>2</v>
      </c>
      <c r="G9" s="162"/>
      <c r="H9" s="161" t="s">
        <v>244</v>
      </c>
      <c r="I9" s="162"/>
      <c r="J9" s="161" t="s">
        <v>30</v>
      </c>
      <c r="K9" s="162"/>
      <c r="L9" s="1"/>
    </row>
    <row r="10" spans="1:12" x14ac:dyDescent="0.25">
      <c r="A10" s="1"/>
      <c r="B10" s="97" t="s">
        <v>280</v>
      </c>
      <c r="C10" s="41"/>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hk8RPSyn55tHtP7EUQnAt2Oi0Vw94REzh1tWfBZEChX4XOHxaHrlSnZfOkx7tY+984icHE9aA1xfla7TYuI8yg==" saltValue="te2Eelt3LiDXLYRB7d1Ax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271</v>
      </c>
      <c r="C11" s="21">
        <v>48088</v>
      </c>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23"/>
      <c r="C14" s="21"/>
      <c r="D14" s="14" t="s">
        <v>3</v>
      </c>
      <c r="E14" s="9"/>
      <c r="F14" s="14" t="s">
        <v>3</v>
      </c>
      <c r="G14" s="1"/>
    </row>
    <row r="15" spans="1:7" x14ac:dyDescent="0.25">
      <c r="A15" s="1"/>
      <c r="B15" s="23"/>
      <c r="C15" s="21"/>
      <c r="D15" s="14" t="s">
        <v>3</v>
      </c>
      <c r="E15" s="9"/>
      <c r="F15" s="14" t="s">
        <v>3</v>
      </c>
      <c r="G15" s="1"/>
    </row>
    <row r="16" spans="1:7" x14ac:dyDescent="0.25">
      <c r="A16" s="1"/>
      <c r="B16" s="23"/>
      <c r="C16" s="21"/>
      <c r="D16" s="14" t="s">
        <v>3</v>
      </c>
      <c r="E16" s="9"/>
      <c r="F16" s="14" t="s">
        <v>3</v>
      </c>
      <c r="G16" s="1"/>
    </row>
    <row r="17" spans="1:7" x14ac:dyDescent="0.25">
      <c r="A17" s="1"/>
      <c r="B17" s="23"/>
      <c r="C17" s="21"/>
      <c r="D17" s="14" t="s">
        <v>3</v>
      </c>
      <c r="E17" s="9"/>
      <c r="F17" s="14" t="s">
        <v>3</v>
      </c>
      <c r="G17" s="1"/>
    </row>
    <row r="18" spans="1:7" x14ac:dyDescent="0.25">
      <c r="A18" s="1"/>
      <c r="B18" s="23"/>
      <c r="C18" s="21"/>
      <c r="D18" s="14" t="s">
        <v>3</v>
      </c>
      <c r="E18" s="9"/>
      <c r="F18" s="14" t="s">
        <v>3</v>
      </c>
      <c r="G18" s="1"/>
    </row>
    <row r="19" spans="1:7" x14ac:dyDescent="0.25">
      <c r="A19" s="1"/>
      <c r="B19" s="32" t="s">
        <v>156</v>
      </c>
      <c r="C19" s="12">
        <f>SUM(C10:C18)</f>
        <v>48088</v>
      </c>
      <c r="D19" s="13" t="s">
        <v>3</v>
      </c>
      <c r="E19" s="12">
        <f>SUM(E10:E18)</f>
        <v>0</v>
      </c>
      <c r="F19" s="13" t="s">
        <v>3</v>
      </c>
      <c r="G19" s="1"/>
    </row>
    <row r="20" spans="1:7" x14ac:dyDescent="0.25">
      <c r="A20" s="1"/>
      <c r="B20" s="32" t="s">
        <v>213</v>
      </c>
      <c r="C20" s="12">
        <f>C19*(1+'Fane 15. Nøgletal'!C15)</f>
        <v>49799.932800000002</v>
      </c>
      <c r="D20" s="13" t="s">
        <v>3</v>
      </c>
      <c r="E20" s="12">
        <f>E19*(1+'Fane 15. Nøgletal'!C15)</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VXhPHE5+wq160/TgVedZjs8sGM/zBykUYexAqaRbzmYhCroxAskdYT+tfChSGwBIn8lHbwtEqqwL2OJKw97Hg==" saltValue="MQOYcDD9klwrODsHHXluk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32" t="s">
        <v>232</v>
      </c>
      <c r="C13" s="12">
        <f>SUM(C10:C12)</f>
        <v>0</v>
      </c>
      <c r="D13" s="13" t="s">
        <v>3</v>
      </c>
      <c r="E13" s="12">
        <f>SUM(E10:E12)</f>
        <v>0</v>
      </c>
      <c r="F13" s="13" t="s">
        <v>3</v>
      </c>
      <c r="G13" s="1"/>
    </row>
    <row r="14" spans="1:7" x14ac:dyDescent="0.25">
      <c r="A14" s="1"/>
      <c r="B14" s="32" t="s">
        <v>136</v>
      </c>
      <c r="C14" s="12">
        <f>C13*(1+'Fane 15. Nøgletal'!C15)^2</f>
        <v>0</v>
      </c>
      <c r="D14" s="13" t="s">
        <v>3</v>
      </c>
      <c r="E14" s="12">
        <f>E13*(1+'Fane 15. Nøgletal'!C15)^2</f>
        <v>0</v>
      </c>
      <c r="F14" s="13" t="s">
        <v>3</v>
      </c>
      <c r="G14" s="1"/>
    </row>
    <row r="15" spans="1:7" x14ac:dyDescent="0.25">
      <c r="A15" s="1"/>
      <c r="B15" s="1"/>
      <c r="C15" s="1"/>
      <c r="D15" s="1"/>
      <c r="E15" s="1"/>
      <c r="F15" s="1"/>
      <c r="G15" s="1"/>
    </row>
    <row r="16" spans="1:7" x14ac:dyDescent="0.25">
      <c r="A16" s="1"/>
      <c r="B16" s="163"/>
      <c r="C16" s="163"/>
      <c r="D16" s="163"/>
      <c r="E16" s="163"/>
      <c r="F16" s="163"/>
      <c r="G16" s="1"/>
    </row>
    <row r="17" spans="1:7" x14ac:dyDescent="0.25">
      <c r="A17" s="1"/>
      <c r="B17" s="60"/>
      <c r="C17" s="60"/>
      <c r="D17" s="60"/>
      <c r="E17" s="60"/>
      <c r="F17" s="61"/>
      <c r="G17" s="1"/>
    </row>
    <row r="18" spans="1:7" x14ac:dyDescent="0.25">
      <c r="A18" s="1"/>
      <c r="B18" s="62"/>
      <c r="C18" s="63"/>
      <c r="D18" s="64"/>
      <c r="E18" s="65"/>
      <c r="F18" s="64"/>
      <c r="G18" s="1"/>
    </row>
    <row r="19" spans="1:7" x14ac:dyDescent="0.25">
      <c r="A19" s="1"/>
      <c r="B19" s="62"/>
      <c r="C19" s="63"/>
      <c r="D19" s="64"/>
      <c r="E19" s="65"/>
      <c r="F19" s="64"/>
      <c r="G19" s="1"/>
    </row>
    <row r="20" spans="1:7" x14ac:dyDescent="0.25">
      <c r="A20" s="1"/>
      <c r="B20" s="66"/>
      <c r="C20" s="67"/>
      <c r="D20" s="68"/>
      <c r="E20" s="67"/>
      <c r="F20" s="68"/>
      <c r="G20" s="1"/>
    </row>
    <row r="21" spans="1:7" x14ac:dyDescent="0.25">
      <c r="A21" s="1"/>
      <c r="B21" s="66"/>
      <c r="C21" s="67"/>
      <c r="D21" s="68"/>
      <c r="E21" s="67"/>
      <c r="F21" s="68"/>
      <c r="G21" s="1"/>
    </row>
    <row r="22" spans="1:7" x14ac:dyDescent="0.25">
      <c r="A22" s="1"/>
      <c r="B22" s="59"/>
      <c r="C22" s="59"/>
      <c r="D22" s="59"/>
      <c r="E22" s="59"/>
      <c r="F22" s="59"/>
      <c r="G22" s="1"/>
    </row>
    <row r="23" spans="1:7" x14ac:dyDescent="0.25">
      <c r="A23" s="1"/>
      <c r="B23" s="163"/>
      <c r="C23" s="163"/>
      <c r="D23" s="163"/>
      <c r="E23" s="163"/>
      <c r="F23" s="163"/>
      <c r="G23" s="1"/>
    </row>
    <row r="24" spans="1:7" x14ac:dyDescent="0.25">
      <c r="A24" s="1"/>
      <c r="B24" s="60"/>
      <c r="C24" s="60"/>
      <c r="D24" s="60"/>
      <c r="E24" s="60"/>
      <c r="F24" s="61"/>
      <c r="G24" s="1"/>
    </row>
    <row r="25" spans="1:7" x14ac:dyDescent="0.25">
      <c r="A25" s="1"/>
      <c r="B25" s="62"/>
      <c r="C25" s="63"/>
      <c r="D25" s="64"/>
      <c r="E25" s="65"/>
      <c r="F25" s="64"/>
      <c r="G25" s="1"/>
    </row>
    <row r="26" spans="1:7" x14ac:dyDescent="0.25">
      <c r="A26" s="1"/>
      <c r="B26" s="62"/>
      <c r="C26" s="63"/>
      <c r="D26" s="64"/>
      <c r="E26" s="65"/>
      <c r="F26" s="64"/>
      <c r="G26" s="1"/>
    </row>
    <row r="27" spans="1:7" x14ac:dyDescent="0.25">
      <c r="A27" s="1"/>
      <c r="B27" s="66"/>
      <c r="C27" s="67"/>
      <c r="D27" s="68"/>
      <c r="E27" s="67"/>
      <c r="F27" s="68"/>
      <c r="G27" s="1"/>
    </row>
    <row r="28" spans="1:7" x14ac:dyDescent="0.25">
      <c r="A28" s="1"/>
      <c r="B28" s="66"/>
      <c r="C28" s="67"/>
      <c r="D28" s="68"/>
      <c r="E28" s="67"/>
      <c r="F28" s="68"/>
      <c r="G28" s="1"/>
    </row>
    <row r="29" spans="1:7" x14ac:dyDescent="0.25">
      <c r="A29" s="1"/>
      <c r="B29" s="59"/>
      <c r="C29" s="59"/>
      <c r="D29" s="59"/>
      <c r="E29" s="59"/>
      <c r="F29" s="59"/>
      <c r="G29" s="1"/>
    </row>
    <row r="30" spans="1:7" x14ac:dyDescent="0.25">
      <c r="A30" s="1"/>
      <c r="B30" s="163"/>
      <c r="C30" s="163"/>
      <c r="D30" s="163"/>
      <c r="E30" s="163"/>
      <c r="F30" s="163"/>
      <c r="G30" s="1"/>
    </row>
    <row r="31" spans="1:7" x14ac:dyDescent="0.25">
      <c r="A31" s="1"/>
      <c r="B31" s="60"/>
      <c r="C31" s="60"/>
      <c r="D31" s="60"/>
      <c r="E31" s="60"/>
      <c r="F31" s="61"/>
      <c r="G31" s="1"/>
    </row>
    <row r="32" spans="1:7" x14ac:dyDescent="0.25">
      <c r="A32" s="1"/>
      <c r="B32" s="62"/>
      <c r="C32" s="63"/>
      <c r="D32" s="64"/>
      <c r="E32" s="65"/>
      <c r="F32" s="64"/>
      <c r="G32" s="1"/>
    </row>
    <row r="33" spans="1:7" x14ac:dyDescent="0.25">
      <c r="A33" s="1"/>
      <c r="B33" s="62"/>
      <c r="C33" s="63"/>
      <c r="D33" s="64"/>
      <c r="E33" s="65"/>
      <c r="F33" s="64"/>
      <c r="G33" s="1"/>
    </row>
    <row r="34" spans="1:7" x14ac:dyDescent="0.25">
      <c r="A34" s="1"/>
      <c r="B34" s="66"/>
      <c r="C34" s="67"/>
      <c r="D34" s="68"/>
      <c r="E34" s="67"/>
      <c r="F34" s="68"/>
      <c r="G34" s="1"/>
    </row>
    <row r="35" spans="1:7" x14ac:dyDescent="0.25">
      <c r="A35" s="1"/>
      <c r="B35" s="66"/>
      <c r="C35" s="67"/>
      <c r="D35" s="68"/>
      <c r="E35" s="67"/>
      <c r="F35" s="6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aaZuWw7Y3NrF1W+EAZydLRtDRNIsLQskuUmh2D3zNj8uvrDBbUhx3XQq3Mkmd6oTzM5tTbMgg1kG0IPkNQJxSg==" saltValue="kqYjedTgq9pGaKc7SUmaQ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8" t="s">
        <v>224</v>
      </c>
      <c r="C10" s="159"/>
      <c r="D10" s="160"/>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8" t="s">
        <v>224</v>
      </c>
      <c r="C16" s="159"/>
      <c r="D16" s="160"/>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8" t="s">
        <v>224</v>
      </c>
      <c r="C22" s="159"/>
      <c r="D22" s="160"/>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8" t="s">
        <v>224</v>
      </c>
      <c r="C28" s="159"/>
      <c r="D28" s="160"/>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H5QSCawfs3mSAcYHD+mJmPWQ3tuXx6TnDeBb8PIxX03bFV9a8QQHo2HV2yAbL5BoKJ2DUtmMwNAWzWRfpCiNA==" saltValue="fgkg5zExVnTfA2t8PTs6F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XT1Fc3aErzIFLKGFnGU5En6hkyzxZtdcH3npwRCWyFhQfpdPxyVysLoTKlxBZvdejkIRxvQ4IS09kYB+ffMeig==" saltValue="3MBkydJ8Jbq3gwIuwM3GH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3"/>
      <c r="C27" s="163"/>
      <c r="D27" s="163"/>
      <c r="E27" s="163"/>
      <c r="F27" s="163"/>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H1n08GRwNb91KyHrv9M3Bvn4qoPtudd7qSyJvYnC3C1GWs6orhO+KlzgBcPVkyuPRBF7rtB6kuRyEWERggKugA==" saltValue="oF53In9BeG0ySEq5p1G5X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65684815.853325211</v>
      </c>
      <c r="D9" s="8" t="s">
        <v>3</v>
      </c>
      <c r="E9" s="1"/>
    </row>
    <row r="10" spans="1:5" ht="17.25" customHeight="1" x14ac:dyDescent="0.25">
      <c r="A10" s="1"/>
      <c r="B10" s="83" t="s">
        <v>39</v>
      </c>
      <c r="C10" s="7">
        <f>'Fane 11.1. Varige tillæg'!C20</f>
        <v>49799.932800000002</v>
      </c>
      <c r="D10" s="8" t="s">
        <v>3</v>
      </c>
      <c r="E10" s="1"/>
    </row>
    <row r="11" spans="1:5" ht="17.25" customHeight="1" x14ac:dyDescent="0.25">
      <c r="A11" s="1"/>
      <c r="B11" s="83" t="s">
        <v>40</v>
      </c>
      <c r="C11" s="9">
        <f>'Fane 11.1. Varige tillæg'!E20</f>
        <v>0</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218532.76992365322</v>
      </c>
      <c r="D16" s="8" t="s">
        <v>3</v>
      </c>
      <c r="E16" s="1"/>
    </row>
    <row r="17" spans="1:5" ht="17.25" customHeight="1" x14ac:dyDescent="0.25">
      <c r="A17" s="1"/>
      <c r="B17" s="83" t="s">
        <v>10</v>
      </c>
      <c r="C17" s="44">
        <f>-SUM(C9,C10:C16)*'Fane 5. Individuelt eff. krav'!G9</f>
        <v>-1319062.9711209773</v>
      </c>
      <c r="D17" s="8" t="s">
        <v>3</v>
      </c>
      <c r="E17" s="1"/>
    </row>
    <row r="18" spans="1:5" ht="17.25" customHeight="1" x14ac:dyDescent="0.25">
      <c r="A18" s="1"/>
      <c r="B18" s="83" t="s">
        <v>24</v>
      </c>
      <c r="C18" s="44">
        <f>-'Fane 4.1. Gen. krav - drift'!G45</f>
        <v>-516740.4126384047</v>
      </c>
      <c r="D18" s="8" t="s">
        <v>3</v>
      </c>
      <c r="E18" s="1"/>
    </row>
    <row r="19" spans="1:5" ht="17.25" customHeight="1" x14ac:dyDescent="0.25">
      <c r="A19" s="1"/>
      <c r="B19" s="83" t="s">
        <v>25</v>
      </c>
      <c r="C19" s="44">
        <f>-'Fane 4.2. Gen. krav - anlæg'!G43</f>
        <v>-691480.47784984147</v>
      </c>
      <c r="D19" s="8" t="s">
        <v>3</v>
      </c>
      <c r="E19" s="48"/>
    </row>
    <row r="20" spans="1:5" ht="17.25" customHeight="1" x14ac:dyDescent="0.25">
      <c r="A20" s="1"/>
      <c r="B20" s="89" t="s">
        <v>21</v>
      </c>
      <c r="C20" s="10">
        <f>SUM(C9:C19)</f>
        <v>63425864.694439642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2202658.1307172803</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Engangstillæg'!C14</f>
        <v>0</v>
      </c>
      <c r="D26" s="8" t="s">
        <v>3</v>
      </c>
      <c r="E26" s="1"/>
    </row>
    <row r="27" spans="1:5" ht="15" customHeight="1" x14ac:dyDescent="0.25">
      <c r="A27" s="1"/>
      <c r="B27" s="83" t="s">
        <v>82</v>
      </c>
      <c r="C27" s="75">
        <f>'Fane 11.2. Engangstillæg'!E14</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-501288.68872714788</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65127234.136429772</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rfqQ2lnTv1FyM7IW9uoMhp+nnrcakqjVSB8V5l6AbPYTv8qRy8zRZGtDLziRvR/cdAD8BIPHo5ogxuTBN7axw==" saltValue="oaVdn/tt/onkVn1jyuiIZ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dHJ0snB1WkTkY5Cz21iN0jnEl8ep2nVUw9buVvSy/MKxMzW0OErl2Y+qWcFRBjmxjSAR0i7ZLbZak0w5+fFA6A==" saltValue="80rwGM3e8T6H3/LquD4OU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63425864.694439642</v>
      </c>
      <c r="D9" s="8" t="s">
        <v>3</v>
      </c>
      <c r="E9" s="1"/>
    </row>
    <row r="10" spans="1:5" ht="15" customHeight="1" x14ac:dyDescent="0.25">
      <c r="A10" s="1"/>
      <c r="B10" s="25" t="s">
        <v>19</v>
      </c>
      <c r="C10" s="7">
        <f>SUM(C9:C9)*'Fane 15. Nøgletal'!C15</f>
        <v>2257960.783122051</v>
      </c>
      <c r="D10" s="8" t="s">
        <v>3</v>
      </c>
      <c r="E10" s="1"/>
    </row>
    <row r="11" spans="1:5" ht="15" customHeight="1" x14ac:dyDescent="0.25">
      <c r="A11" s="1"/>
      <c r="B11" s="25" t="s">
        <v>10</v>
      </c>
      <c r="C11" s="9">
        <f>-SUM(C9:C10)*'Fane 5. Individuelt eff. krav'!G9</f>
        <v>-1313676.5095512338</v>
      </c>
      <c r="D11" s="8" t="s">
        <v>3</v>
      </c>
      <c r="E11" s="1"/>
    </row>
    <row r="12" spans="1:5" ht="15" customHeight="1" x14ac:dyDescent="0.25">
      <c r="A12" s="1"/>
      <c r="B12" s="25" t="s">
        <v>24</v>
      </c>
      <c r="C12" s="9">
        <f>-'Fane 4.1. Gen. krav - drift'!G53</f>
        <v>-524433.64390176523</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63845715.32410869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2281072.7601708155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-350114.98512958735</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65776673.09914992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HTJF9Sv7MvAYoVoNgEthEV1THy49bxxJAzFoZzXoWc4hCXw0HK6EaDU33ON37pQcpNTf3sNim62/HftlJDJ2nQ==" saltValue="NRYq1pfLawQNbuOcigHPk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63845715.32410869</v>
      </c>
      <c r="D9" s="8" t="s">
        <v>3</v>
      </c>
      <c r="E9" s="1"/>
    </row>
    <row r="10" spans="1:5" ht="15" customHeight="1" x14ac:dyDescent="0.25">
      <c r="A10" s="1"/>
      <c r="B10" s="25" t="s">
        <v>19</v>
      </c>
      <c r="C10" s="7">
        <f>SUM(C9:C9)*'Fane 15. Nøgletal'!C15</f>
        <v>2272907.4655382694</v>
      </c>
      <c r="D10" s="8" t="s">
        <v>3</v>
      </c>
      <c r="E10" s="1"/>
    </row>
    <row r="11" spans="1:5" ht="15" customHeight="1" x14ac:dyDescent="0.25">
      <c r="A11" s="1"/>
      <c r="B11" s="25" t="s">
        <v>10</v>
      </c>
      <c r="C11" s="9">
        <f>-SUM(C9:C10)*'Fane 5. Individuelt eff. krav'!G9</f>
        <v>-1322372.4557929393</v>
      </c>
      <c r="D11" s="8" t="s">
        <v>3</v>
      </c>
      <c r="E11" s="1"/>
    </row>
    <row r="12" spans="1:5" ht="15" customHeight="1" x14ac:dyDescent="0.25">
      <c r="A12" s="1"/>
      <c r="B12" s="25" t="s">
        <v>24</v>
      </c>
      <c r="C12" s="9">
        <f>-'Fane 4.1. Gen. krav - drift'!G58</f>
        <v>-532241.41199217481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64264008.921861842</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2362278.9504328966</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-350114.98512958735</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66276172.887165152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FykiiUcMwJ7m8xv9+5YCBwm/oav3KkNAvjWiy0MMtvvvnmpbZfDb9NCMvuIIpRLjGEr8b5GiZyOzaClKZHGkzg==" saltValue="dAXtRXnIU9z6OTIf9PMXn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64264008.921861842</v>
      </c>
      <c r="D9" s="8" t="s">
        <v>3</v>
      </c>
      <c r="E9" s="1"/>
    </row>
    <row r="10" spans="1:5" ht="15" customHeight="1" x14ac:dyDescent="0.25">
      <c r="A10" s="1"/>
      <c r="B10" s="25" t="s">
        <v>19</v>
      </c>
      <c r="C10" s="7">
        <f>SUM(C9:C9)*'Fane 15. Nøgletal'!C15</f>
        <v>2287798.7176182815</v>
      </c>
      <c r="D10" s="8" t="s">
        <v>3</v>
      </c>
      <c r="E10" s="1"/>
    </row>
    <row r="11" spans="1:5" ht="15" customHeight="1" x14ac:dyDescent="0.25">
      <c r="A11" s="1"/>
      <c r="B11" s="25" t="s">
        <v>10</v>
      </c>
      <c r="C11" s="9">
        <f>-SUM(C9:C10)*'Fane 5. Individuelt eff. krav'!G9</f>
        <v>-1331036.1527896025</v>
      </c>
      <c r="D11" s="8" t="s">
        <v>3</v>
      </c>
      <c r="E11" s="1"/>
    </row>
    <row r="12" spans="1:5" ht="15" customHeight="1" x14ac:dyDescent="0.25">
      <c r="A12" s="1"/>
      <c r="B12" s="25" t="s">
        <v>24</v>
      </c>
      <c r="C12" s="9">
        <f>-'Fane 4.1. Gen. krav - drift'!G63</f>
        <v>-540165.42213391431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64680606.064556606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2446376.0810683081</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-350114.98512958735</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66776867.160495333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KXSHdFk1E305ZksKYmoA0ZSAGuQ+BHwG3HPIwlADqSH05/s1jQBTQVoN3yK1YNI727AkXVAAckC7xKq9JXlJg==" saltValue="bvNrMdkqpKtEXaSKQR66Z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21" t="s">
        <v>192</v>
      </c>
      <c r="C9" s="122"/>
      <c r="D9" s="123"/>
      <c r="E9" s="7">
        <v>68012986.078900218</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36815.090200000006</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224564.34385803074</v>
      </c>
      <c r="F16" s="8" t="s">
        <v>3</v>
      </c>
      <c r="G16" s="1"/>
    </row>
    <row r="17" spans="1:7" ht="15" customHeight="1" x14ac:dyDescent="0.25">
      <c r="A17" s="1"/>
      <c r="B17" s="121" t="s">
        <v>10</v>
      </c>
      <c r="C17" s="122"/>
      <c r="D17" s="123"/>
      <c r="E17" s="9">
        <v>-1365487.3102591652</v>
      </c>
      <c r="F17" s="8" t="s">
        <v>3</v>
      </c>
      <c r="G17" s="1"/>
    </row>
    <row r="18" spans="1:7" ht="15" customHeight="1" x14ac:dyDescent="0.25">
      <c r="A18" s="1"/>
      <c r="B18" s="121" t="s">
        <v>24</v>
      </c>
      <c r="C18" s="122"/>
      <c r="D18" s="123"/>
      <c r="E18" s="9">
        <f>-'Fane 4.1. Gen. krav - drift'!G39</f>
        <v>-524502.7698698896</v>
      </c>
      <c r="F18" s="8" t="s">
        <v>3</v>
      </c>
      <c r="G18" s="1"/>
    </row>
    <row r="19" spans="1:7" ht="15" customHeight="1" x14ac:dyDescent="0.25">
      <c r="A19" s="1"/>
      <c r="B19" s="121" t="s">
        <v>25</v>
      </c>
      <c r="C19" s="122"/>
      <c r="D19" s="123"/>
      <c r="E19" s="9">
        <f>-'Fane 4.2. Gen. krav - anlæg'!G37</f>
        <v>-699559.57950400037</v>
      </c>
      <c r="F19" s="8" t="s">
        <v>3</v>
      </c>
      <c r="G19" s="1"/>
    </row>
    <row r="20" spans="1:7" ht="15" customHeight="1" x14ac:dyDescent="0.25">
      <c r="A20" s="1"/>
      <c r="B20" s="54" t="s">
        <v>21</v>
      </c>
      <c r="C20" s="90"/>
      <c r="D20" s="96"/>
      <c r="E20" s="51">
        <f>SUM(E9:E19)</f>
        <v>65684815.853325211</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1973541.1787162004</v>
      </c>
      <c r="F22" s="11" t="s">
        <v>3</v>
      </c>
      <c r="G22" s="1"/>
    </row>
    <row r="23" spans="1:7" ht="15" customHeight="1" x14ac:dyDescent="0.25">
      <c r="A23" s="1"/>
      <c r="B23" s="131" t="s">
        <v>86</v>
      </c>
      <c r="C23" s="132"/>
      <c r="D23" s="133"/>
      <c r="E23" s="27"/>
      <c r="F23" s="27"/>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504814.1034021877</v>
      </c>
      <c r="F28" s="11" t="s">
        <v>3</v>
      </c>
      <c r="G28" s="1"/>
    </row>
    <row r="29" spans="1:7" ht="15" customHeight="1" x14ac:dyDescent="0.25">
      <c r="A29" s="1"/>
      <c r="B29" s="32" t="s">
        <v>143</v>
      </c>
      <c r="C29" s="32"/>
      <c r="D29" s="32"/>
      <c r="E29" s="27"/>
      <c r="F29" s="27"/>
      <c r="G29" s="1"/>
    </row>
    <row r="30" spans="1:7" ht="15" customHeight="1" x14ac:dyDescent="0.25">
      <c r="A30" s="1"/>
      <c r="B30" s="128" t="s">
        <v>142</v>
      </c>
      <c r="C30" s="129"/>
      <c r="D30" s="129"/>
      <c r="E30" s="39">
        <v>-501288.68872714788</v>
      </c>
      <c r="F30" s="11" t="s">
        <v>3</v>
      </c>
      <c r="G30" s="1"/>
    </row>
    <row r="31" spans="1:7" x14ac:dyDescent="0.25">
      <c r="A31" s="1"/>
      <c r="B31" s="32" t="s">
        <v>123</v>
      </c>
      <c r="C31" s="27"/>
      <c r="D31" s="27"/>
      <c r="E31" s="27"/>
      <c r="F31" s="27"/>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67661882.446716458</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l9BHMR160xnFXTSGJ3eS0QA7PATmIMPN3PeCa4hEqVn1u6Szcuo4z4Lc9xDJUR71wMeigNxcKWe5GLo6EFGOXQ==" saltValue="gzPS6++wXlfzZbW4Xo2zMQ=="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26824449</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536488.98</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26747999.320350002</v>
      </c>
      <c r="H11" s="14" t="s">
        <v>3</v>
      </c>
      <c r="I11" s="1"/>
    </row>
    <row r="12" spans="1:9" ht="15" customHeight="1" x14ac:dyDescent="0.25">
      <c r="A12" s="1"/>
      <c r="B12" s="136" t="s">
        <v>121</v>
      </c>
      <c r="C12" s="137"/>
      <c r="D12" s="137"/>
      <c r="E12" s="137"/>
      <c r="F12" s="138"/>
      <c r="G12" s="77">
        <v>0.3512038820330054</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534959.99343107769</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26671767.872489959</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533435.35744979919</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26653257.665586453</v>
      </c>
      <c r="H25" s="14" t="s">
        <v>3</v>
      </c>
      <c r="I25" s="1"/>
    </row>
    <row r="26" spans="1:9" x14ac:dyDescent="0.25">
      <c r="A26" s="1"/>
      <c r="B26" s="143" t="s">
        <v>50</v>
      </c>
      <c r="C26" s="144"/>
      <c r="D26" s="144"/>
      <c r="E26" s="144"/>
      <c r="F26" s="145"/>
      <c r="G26" s="77">
        <v>0</v>
      </c>
      <c r="H26" s="14" t="s">
        <v>3</v>
      </c>
      <c r="I26" s="1"/>
    </row>
    <row r="27" spans="1:9" x14ac:dyDescent="0.25">
      <c r="A27" s="1"/>
      <c r="B27" s="136" t="s">
        <v>51</v>
      </c>
      <c r="C27" s="137"/>
      <c r="D27" s="137"/>
      <c r="E27" s="137"/>
      <c r="F27" s="138"/>
      <c r="G27" s="76">
        <f>(G25+G26)*'Fane 15. Nøgletal'!C31</f>
        <v>533065.15331172908</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26634760.304766536</v>
      </c>
      <c r="H31" s="14" t="s">
        <v>3</v>
      </c>
      <c r="I31" s="1"/>
    </row>
    <row r="32" spans="1:9" x14ac:dyDescent="0.25">
      <c r="A32" s="1"/>
      <c r="B32" s="136" t="s">
        <v>137</v>
      </c>
      <c r="C32" s="137"/>
      <c r="D32" s="137"/>
      <c r="E32" s="137"/>
      <c r="F32" s="138"/>
      <c r="G32" s="76">
        <v>0</v>
      </c>
      <c r="H32" s="14" t="s">
        <v>3</v>
      </c>
      <c r="I32" s="1"/>
    </row>
    <row r="33" spans="1:9" x14ac:dyDescent="0.25">
      <c r="A33" s="1"/>
      <c r="B33" s="136" t="s">
        <v>60</v>
      </c>
      <c r="C33" s="137"/>
      <c r="D33" s="137"/>
      <c r="E33" s="137"/>
      <c r="F33" s="138"/>
      <c r="G33" s="76">
        <f>(G31+G32)*'Fane 15. Nøgletal'!C31</f>
        <v>532695.20609533077</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26188201.913496822</v>
      </c>
      <c r="H37" s="14" t="s">
        <v>3</v>
      </c>
      <c r="I37" s="1"/>
    </row>
    <row r="38" spans="1:9" x14ac:dyDescent="0.25">
      <c r="A38" s="1"/>
      <c r="B38" s="136" t="s">
        <v>164</v>
      </c>
      <c r="C38" s="137"/>
      <c r="D38" s="137"/>
      <c r="E38" s="137"/>
      <c r="F38" s="138"/>
      <c r="G38" s="76">
        <v>36936.57999766001</v>
      </c>
      <c r="H38" s="14" t="s">
        <v>3</v>
      </c>
      <c r="I38" s="1"/>
    </row>
    <row r="39" spans="1:9" x14ac:dyDescent="0.25">
      <c r="A39" s="1"/>
      <c r="B39" s="136" t="s">
        <v>162</v>
      </c>
      <c r="C39" s="137"/>
      <c r="D39" s="137"/>
      <c r="E39" s="137"/>
      <c r="F39" s="138"/>
      <c r="G39" s="76">
        <f>(G37+G38)*'Fane 15. Nøgletal'!C31</f>
        <v>524502.7698698896</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25785447.821512554</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51572.810407680008</v>
      </c>
      <c r="H44" s="14" t="s">
        <v>3</v>
      </c>
      <c r="I44" s="1"/>
    </row>
    <row r="45" spans="1:9" x14ac:dyDescent="0.25">
      <c r="A45" s="1"/>
      <c r="B45" s="136" t="s">
        <v>163</v>
      </c>
      <c r="C45" s="137"/>
      <c r="D45" s="137"/>
      <c r="E45" s="137"/>
      <c r="F45" s="138"/>
      <c r="G45" s="76">
        <f>SUM(G43:G44)*'Fane 15. Nøgletal'!C31</f>
        <v>516740.4126384047</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26221682.195088264</v>
      </c>
      <c r="H52" s="14" t="s">
        <v>3</v>
      </c>
      <c r="I52" s="1"/>
    </row>
    <row r="53" spans="1:9" x14ac:dyDescent="0.25">
      <c r="A53" s="1"/>
      <c r="B53" s="136" t="s">
        <v>138</v>
      </c>
      <c r="C53" s="137"/>
      <c r="D53" s="137"/>
      <c r="E53" s="137"/>
      <c r="F53" s="138"/>
      <c r="G53" s="76">
        <f>(G52)*'Fane 15. Nøgletal'!C31</f>
        <v>524433.64390176523</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26612070.599608738</v>
      </c>
      <c r="H57" s="14" t="s">
        <v>3</v>
      </c>
      <c r="I57" s="1"/>
    </row>
    <row r="58" spans="1:9" x14ac:dyDescent="0.25">
      <c r="A58" s="1"/>
      <c r="B58" s="91" t="s">
        <v>152</v>
      </c>
      <c r="C58" s="92"/>
      <c r="D58" s="92"/>
      <c r="E58" s="92"/>
      <c r="F58" s="93"/>
      <c r="G58" s="76">
        <f>(G57)*'Fane 15. Nøgletal'!C31</f>
        <v>532241.41199217481</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27008271.106695715</v>
      </c>
      <c r="H62" s="14" t="s">
        <v>3</v>
      </c>
      <c r="I62" s="1"/>
    </row>
    <row r="63" spans="1:9" x14ac:dyDescent="0.25">
      <c r="A63" s="1"/>
      <c r="B63" s="91" t="s">
        <v>195</v>
      </c>
      <c r="C63" s="92"/>
      <c r="D63" s="92"/>
      <c r="E63" s="92"/>
      <c r="F63" s="93"/>
      <c r="G63" s="76">
        <f>(G62)*'Fane 15. Nøgletal'!C31</f>
        <v>540165.42213391431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l5sTkRttm9PJVEG1PW74OgxsrDOgMvldeGby0+zzjYUbl8rM9LhjJjL1RwHo1xfLXsdnmKp5s7QtwNhczlAifg==" saltValue="rhx/JC9SGaOsQXbJ84mY1Q=="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48131379</v>
      </c>
      <c r="H5" s="14" t="s">
        <v>3</v>
      </c>
      <c r="I5" s="1"/>
    </row>
    <row r="6" spans="1:9" x14ac:dyDescent="0.25">
      <c r="A6" s="1"/>
      <c r="B6" s="136" t="s">
        <v>57</v>
      </c>
      <c r="C6" s="137"/>
      <c r="D6" s="137"/>
      <c r="E6" s="137"/>
      <c r="F6" s="138"/>
      <c r="G6" s="76">
        <f>G5*'Fane 15. Nøgletal'!C20</f>
        <v>437995.54889999999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48528017.661494255</v>
      </c>
      <c r="H10" s="14" t="s">
        <v>3</v>
      </c>
      <c r="I10" s="1"/>
    </row>
    <row r="11" spans="1:9" x14ac:dyDescent="0.25">
      <c r="A11" s="1"/>
      <c r="B11" s="136" t="s">
        <v>122</v>
      </c>
      <c r="C11" s="137"/>
      <c r="D11" s="137"/>
      <c r="E11" s="137"/>
      <c r="F11" s="138"/>
      <c r="G11" s="76">
        <v>-583569.62104921986</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848616.73031587712</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47920008.358056419</v>
      </c>
      <c r="H17" s="14" t="s">
        <v>3</v>
      </c>
      <c r="I17" s="1"/>
    </row>
    <row r="18" spans="1:9" x14ac:dyDescent="0.25">
      <c r="A18" s="1"/>
      <c r="B18" s="143" t="s">
        <v>68</v>
      </c>
      <c r="C18" s="144"/>
      <c r="D18" s="144"/>
      <c r="E18" s="144"/>
      <c r="F18" s="145"/>
      <c r="G18" s="76">
        <v>284829.57450400991</v>
      </c>
      <c r="H18" s="14" t="s">
        <v>3</v>
      </c>
      <c r="I18" s="1"/>
    </row>
    <row r="19" spans="1:9" x14ac:dyDescent="0.25">
      <c r="A19" s="1"/>
      <c r="B19" s="136" t="s">
        <v>69</v>
      </c>
      <c r="C19" s="137"/>
      <c r="D19" s="137"/>
      <c r="E19" s="137"/>
      <c r="F19" s="138"/>
      <c r="G19" s="76">
        <f>G17*'Fane 15. Nøgletal'!C21+G18*'Fane 15. Nøgletal'!C22</f>
        <v>850662.16523578356</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48287053.029940948</v>
      </c>
      <c r="H23" s="14" t="s">
        <v>3</v>
      </c>
      <c r="I23" s="1"/>
    </row>
    <row r="24" spans="1:9" x14ac:dyDescent="0.25">
      <c r="A24" s="1"/>
      <c r="B24" s="143" t="s">
        <v>72</v>
      </c>
      <c r="C24" s="144"/>
      <c r="D24" s="144"/>
      <c r="E24" s="144"/>
      <c r="F24" s="145"/>
      <c r="G24" s="76">
        <v>655289.12226198963</v>
      </c>
      <c r="H24" s="14" t="s">
        <v>3</v>
      </c>
      <c r="I24" s="1"/>
    </row>
    <row r="25" spans="1:9" x14ac:dyDescent="0.25">
      <c r="A25" s="1"/>
      <c r="B25" s="136" t="s">
        <v>73</v>
      </c>
      <c r="C25" s="137"/>
      <c r="D25" s="137"/>
      <c r="E25" s="137"/>
      <c r="F25" s="138"/>
      <c r="G25" s="76">
        <f>(G23+G24)*'Fane 15. Nøgletal'!C23</f>
        <v>1389962.5171225634</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48489161.513891451</v>
      </c>
      <c r="H29" s="14" t="s">
        <v>3</v>
      </c>
      <c r="I29" s="1"/>
    </row>
    <row r="30" spans="1:9" x14ac:dyDescent="0.25">
      <c r="A30" s="1"/>
      <c r="B30" s="136" t="s">
        <v>139</v>
      </c>
      <c r="C30" s="137"/>
      <c r="D30" s="137"/>
      <c r="E30" s="137"/>
      <c r="F30" s="138"/>
      <c r="G30" s="76">
        <v>0</v>
      </c>
      <c r="H30" s="14" t="s">
        <v>3</v>
      </c>
      <c r="I30" s="1"/>
    </row>
    <row r="31" spans="1:9" x14ac:dyDescent="0.25">
      <c r="A31" s="1"/>
      <c r="B31" s="136" t="s">
        <v>76</v>
      </c>
      <c r="C31" s="137"/>
      <c r="D31" s="137"/>
      <c r="E31" s="137"/>
      <c r="F31" s="138"/>
      <c r="G31" s="76">
        <f>G29*'Fane 15. Nøgletal'!C23+G30*'Fane 15. Nøgletal'!C24</f>
        <v>1377092.1869945172</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47267539.155675702</v>
      </c>
      <c r="H35" s="14" t="s">
        <v>3</v>
      </c>
      <c r="I35" s="1"/>
    </row>
    <row r="36" spans="1:9" x14ac:dyDescent="0.25">
      <c r="A36" s="1"/>
      <c r="B36" s="136" t="s">
        <v>167</v>
      </c>
      <c r="C36" s="137"/>
      <c r="D36" s="137"/>
      <c r="E36" s="137"/>
      <c r="F36" s="138"/>
      <c r="G36" s="76">
        <v>0</v>
      </c>
      <c r="H36" s="14" t="s">
        <v>3</v>
      </c>
      <c r="I36" s="1"/>
    </row>
    <row r="37" spans="1:9" x14ac:dyDescent="0.25">
      <c r="A37" s="1"/>
      <c r="B37" s="136" t="s">
        <v>166</v>
      </c>
      <c r="C37" s="137"/>
      <c r="D37" s="137"/>
      <c r="E37" s="137"/>
      <c r="F37" s="138"/>
      <c r="G37" s="76">
        <f>(G35+G36)*'Fane 15. Nøgletal'!C25</f>
        <v>699559.57950400037</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46721653.908773072</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36" t="s">
        <v>168</v>
      </c>
      <c r="C43" s="137"/>
      <c r="D43" s="137"/>
      <c r="E43" s="137"/>
      <c r="F43" s="138"/>
      <c r="G43" s="76">
        <f>(G41)*'Fane 15. Nøgletal'!C25+G42*'Fane 15. Nøgletal'!C26</f>
        <v>691480.47784984147</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47668847.605064102</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49365858.579804391</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51123283.145245433</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IsGbjvBmYAboDOx+mKDqqNkxxIVfK6KHSbi6HBEyDu2Hqdt/mOrP/qeLmj9Qq7cz5vrDKHbXI/X//vNZVMsA4Q==" saltValue="bvGekxb/uxQM0DIjDy00u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2"/>
      <c r="H8" s="1"/>
    </row>
    <row r="9" spans="1:8" x14ac:dyDescent="0.25">
      <c r="A9" s="1"/>
      <c r="B9" s="136" t="s">
        <v>154</v>
      </c>
      <c r="C9" s="137"/>
      <c r="D9" s="137"/>
      <c r="E9" s="137"/>
      <c r="F9" s="138"/>
      <c r="G9" s="35">
        <v>0.02</v>
      </c>
      <c r="H9" s="1"/>
    </row>
    <row r="10" spans="1:8" x14ac:dyDescent="0.25">
      <c r="A10" s="1"/>
      <c r="B10" s="32"/>
      <c r="C10" s="27"/>
      <c r="D10" s="27"/>
      <c r="E10" s="27"/>
      <c r="F10" s="27"/>
      <c r="G10" s="27"/>
      <c r="H10" s="1"/>
    </row>
    <row r="11" spans="1:8" ht="29.25" customHeight="1" x14ac:dyDescent="0.25">
      <c r="A11" s="1"/>
      <c r="B11" s="148" t="s">
        <v>236</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UcFi6F+8/7HXbqggo8Y9/EpCk05JBJNCKTvormKWbWYP99l4b6ZzcLnJMW9ODJayykEOT3MyFz3Vsnejui9WMw==" saltValue="kFDYnixD3ZNbrkszJQk8C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2022-12-01T08:33:09Z</dcterms:modified>
</cp:coreProperties>
</file>