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Biofos Lynettefællesskabet AS (S008)\ØR2023\"/>
    </mc:Choice>
  </mc:AlternateContent>
  <xr:revisionPtr revIDLastSave="0" documentId="13_ncr:1_{9030D7F9-1C9D-44BC-ABC4-5447D88D3F83}"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91029"/>
</workbook>
</file>

<file path=xl/calcChain.xml><?xml version="1.0" encoding="utf-8"?>
<calcChain xmlns="http://schemas.openxmlformats.org/spreadsheetml/2006/main">
  <c r="C39" i="2" l="1"/>
  <c r="E24" i="32" l="1"/>
  <c r="E32" i="32" l="1"/>
  <c r="E34" i="32" s="1"/>
  <c r="C20" i="23" l="1"/>
  <c r="C20" i="22"/>
  <c r="C20" i="15"/>
  <c r="E28" i="32"/>
  <c r="C32" i="2" s="1"/>
  <c r="C15" i="19"/>
  <c r="E34" i="27" l="1"/>
  <c r="C22" i="23"/>
  <c r="C22" i="22"/>
  <c r="C22" i="15"/>
  <c r="C36" i="2"/>
  <c r="G18" i="41" l="1"/>
  <c r="F11" i="11" l="1"/>
  <c r="F12" i="11"/>
  <c r="F13" i="11"/>
  <c r="C11" i="29" l="1"/>
  <c r="E11" i="29"/>
  <c r="E11" i="39"/>
  <c r="C11" i="39"/>
  <c r="J14" i="11"/>
  <c r="H14" i="11"/>
  <c r="E16" i="27" l="1"/>
  <c r="E29" i="20" l="1"/>
  <c r="E23" i="20"/>
  <c r="E17" i="20"/>
  <c r="E11" i="20"/>
  <c r="F10" i="11" l="1"/>
  <c r="F14" i="11" s="1"/>
  <c r="E12" i="29" l="1"/>
  <c r="C12" i="29"/>
  <c r="C12" i="21" l="1"/>
  <c r="C13" i="21" s="1"/>
  <c r="C12" i="2" l="1"/>
  <c r="C15" i="2" l="1"/>
  <c r="C14" i="2"/>
  <c r="G6" i="36" l="1"/>
  <c r="C12" i="39" l="1"/>
  <c r="E12" i="39" l="1"/>
  <c r="C26" i="2" l="1"/>
  <c r="C28" i="2" s="1"/>
  <c r="C27" i="2" l="1"/>
  <c r="C29" i="2" s="1"/>
  <c r="C30" i="2" l="1"/>
  <c r="C16" i="19" l="1"/>
  <c r="C16" i="15" s="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1" i="37" s="1"/>
  <c r="C12" i="37" l="1"/>
  <c r="C10" i="2" s="1"/>
  <c r="G44" i="30" s="1"/>
  <c r="G35" i="36"/>
  <c r="G37" i="36" l="1"/>
  <c r="E19" i="27" s="1"/>
  <c r="G41" i="36" l="1"/>
  <c r="G27" i="30"/>
  <c r="G31" i="30" l="1"/>
  <c r="E10" i="37"/>
  <c r="E11" i="37" s="1"/>
  <c r="G33" i="30" l="1"/>
  <c r="G37" i="30" s="1"/>
  <c r="G39" i="30" s="1"/>
  <c r="E12"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<sst xmlns="http://schemas.openxmlformats.org/spreadsheetml/2006/main" count="624" uniqueCount="294">
  <si>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</si>
  <si>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</si>
  <si>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</si>
  <si>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</si>
  <si>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</si>
  <si>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</si>
  <si>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</si>
  <si>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</si>
  <si>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</si>
  <si>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</si>
  <si>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</si>
  <si>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</si>
  <si>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</si>
  <si>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</si>
  <si>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</si>
  <si>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</si>
  <si>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</si>
  <si>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</si>
  <si>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</si>
  <si>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</si>
  <si>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</si>
  <si>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</si>
  <si>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</si>
  <si>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</si>
  <si>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</si>
  <si>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</si>
  <si>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</si>
  <si>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</si>
  <si>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</si>
  <si>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</si>
  <si>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</si>
  <si>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</si>
  <si>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</si>
  <si>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</si>
  <si>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</si>
  <si>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</si>
  <si>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</si>
  <si>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</si>
  <si>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</si>
  <si>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</si>
  <si>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</si>
  <si>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</si>
  <si>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</si>
  <si>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</si>
  <si>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</si>
  <si>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</si>
  <si>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</si>
  <si>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</si>
  <si>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</si>
  <si>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</si>
  <si>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</si>
  <si>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</si>
  <si>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</si>
  <si>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</si>
  <si>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</si>
  <si>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</si>
  <si>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</si>
  <si>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</si>
  <si>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</si>
  <si>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</si>
  <si>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</si>
  <si>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</si>
  <si>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</si>
  <si>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</si>
  <si>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</si>
  <si>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</si>
  <si>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</si>
  <si>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</si>
  <si>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</si>
  <si>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</si>
  <si>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</si>
  <si>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</si>
  <si>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</si>
  <si>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</si>
  <si>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</si>
  <si>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</si>
  <si>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</si>
  <si>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</si>
  <si>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</si>
  <si>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</si>
  <si>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</si>
  <si>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</si>
  <si>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</si>
  <si>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</si>
  <si>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</si>
  <si>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</si>
  <si>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</si>
  <si>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</si>
  <si>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</si>
  <si>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</si>
  <si>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</si>
  <si>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</si>
  <si>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</si>
  <si>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</si>
  <si>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</si>
  <si>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</si>
  <si>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</si>
  <si>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</si>
  <si>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</si>
  <si>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</si>
  <si>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</si>
  <si>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</si>
  <si>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</si>
  <si>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</si>
  <si>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</si>
  <si>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</si>
  <si>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</si>
  <si>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</si>
  <si>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</si>
  <si>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</si>
  <si>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</si>
  <si>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</si>
  <si>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</si>
  <si>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</si>
  <si>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</si>
  <si>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</si>
  <si>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</si>
  <si>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</si>
  <si>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</si>
  <si>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</si>
  <si>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</si>
  <si>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</si>
  <si>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</si>
  <si>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</si>
  <si>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</si>
  <si>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</si>
  <si>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</si>
  <si>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</si>
  <si>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</si>
  <si>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</si>
  <si>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</si>
  <si>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</si>
  <si>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</si>
  <si>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</si>
  <si>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</si>
  <si>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</si>
  <si>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</si>
  <si>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</si>
  <si>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</si>
  <si>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</si>
  <si>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</si>
  <si>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</si>
  <si>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</si>
  <si>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</si>
  <si>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</si>
  <si>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</si>
  <si>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</si>
  <si>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</si>
  <si>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</si>
  <si>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</si>
  <si>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</si>
  <si>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</si>
  <si>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</si>
  <si>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</si>
  <si>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</si>
  <si>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</si>
  <si>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</si>
  <si>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</si>
  <si>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</si>
  <si>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</si>
  <si>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</si>
  <si>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</si>
  <si>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</si>
  <si>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</si>
  <si>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</si>
  <si>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</si>
  <si>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</si>
  <si>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</si>
  <si>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</si>
  <si>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</si>
  <si>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</si>
  <si>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</si>
  <si>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</si>
  <si>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</si>
  <si>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</si>
  <si>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</si>
  <si>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</si>
  <si>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</si>
  <si>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</si>
  <si>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</si>
  <si>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</si>
  <si>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</si>
  <si>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</si>
  <si>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</si>
  <si>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</si>
  <si>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</si>
  <si>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</si>
  <si>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</si>
  <si>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</si>
  <si>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</si>
  <si>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</si>
  <si>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</si>
  <si>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</si>
  <si>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</si>
  <si>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</si>
  <si>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</si>
  <si>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</si>
  <si>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</si>
  <si>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</si>
  <si>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</si>
  <si>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</si>
  <si>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</si>
  <si>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</si>
  <si>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</si>
  <si>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</si>
  <si>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</si>
  <si>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</si>
  <si>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</si>
  <si>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</si>
  <si>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</si>
  <si>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</si>
  <si>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</si>
  <si>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</si>
  <si>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</si>
  <si>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</si>
  <si>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</si>
  <si>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</si>
  <si>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</si>
  <si>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</si>
  <si>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</si>
  <si>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</si>
  <si>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</si>
  <si>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</si>
  <si>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</si>
  <si>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</si>
  <si>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</si>
  <si>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</si>
  <si>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</si>
  <si>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</si>
  <si>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</si>
  <si>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</si>
  <si>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</si>
  <si>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</si>
  <si>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</si>
  <si>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</si>
  <si>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</si>
  <si>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</si>
  <si>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</si>
  <si>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</si>
  <si>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</si>
  <si>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</si>
  <si>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</si>
  <si>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</si>
  <si>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</si>
  <si>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</si>
  <si>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</si>
  <si>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</si>
  <si>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</si>
  <si>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</si>
  <si>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</si>
  <si>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</si>
  <si>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</si>
  <si>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</si>
  <si>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</si>
  <si>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</si>
  <si>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</si>
  <si>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</si>
  <si>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</si>
  <si>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</si>
  <si>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</si>
  <si>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</si>
  <si>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</si>
  <si>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</si>
  <si>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Rådnetanke, slam, Konstruktioner</t>
  </si>
  <si>
    <t>Rådnetanke, slam, Mek/EL</t>
  </si>
  <si>
    <t>Rådnetanke, slam, SRO</t>
  </si>
  <si>
    <t>Sand- og fedtfang, Mek/EL</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</si>
  <si>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</si>
  <si>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</si>
  <si>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</si>
  <si>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</si>
  <si>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</si>
  <si>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</si>
  <si>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Øvrige IPO</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</si>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</sst>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0" t="s">
        <v>4</v>
      </c>
      <c r="E6" s="100"/>
      <c r="F6" s="100"/>
      <c r="G6" s="100"/>
      <c r="H6" s="3"/>
      <c r="I6" s="1"/>
    </row>
    <row r="7" spans="1:9" ht="15" customHeight="1" x14ac:dyDescent="0.25">
      <c r="A7" s="1"/>
      <c r="B7" s="1"/>
      <c r="C7" s="3"/>
      <c r="D7" s="100"/>
      <c r="E7" s="100"/>
      <c r="F7" s="100"/>
      <c r="G7" s="100"/>
      <c r="H7" s="3"/>
      <c r="I7" s="1"/>
    </row>
    <row r="8" spans="1:9" ht="15.75" x14ac:dyDescent="0.25">
      <c r="A8" s="1"/>
      <c r="B8" s="1"/>
      <c r="C8" s="4"/>
      <c r="D8" s="108" t="s">
        <v>225</v>
      </c>
      <c r="E8" s="108"/>
      <c r="F8" s="108"/>
      <c r="G8" s="108"/>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7" t="s">
        <v>5</v>
      </c>
      <c r="E11" s="107"/>
      <c r="F11" s="107"/>
      <c r="G11" s="107"/>
      <c r="H11" s="5"/>
      <c r="I11" s="1"/>
    </row>
    <row r="12" spans="1:9" x14ac:dyDescent="0.25">
      <c r="A12" s="1"/>
      <c r="B12" s="1"/>
      <c r="C12" s="1"/>
      <c r="D12" s="1"/>
      <c r="E12" s="1"/>
      <c r="F12" s="1"/>
      <c r="G12" s="1"/>
      <c r="H12" s="5"/>
      <c r="I12" s="1"/>
    </row>
    <row r="13" spans="1:9" x14ac:dyDescent="0.25">
      <c r="A13" s="1"/>
      <c r="B13" s="1"/>
      <c r="C13" s="6" t="s">
        <v>6</v>
      </c>
      <c r="D13" s="112" t="s">
        <v>169</v>
      </c>
      <c r="E13" s="113"/>
      <c r="F13" s="113"/>
      <c r="G13" s="114"/>
      <c r="H13" s="5"/>
      <c r="I13" s="1"/>
    </row>
    <row r="14" spans="1:9" x14ac:dyDescent="0.25">
      <c r="A14" s="1"/>
      <c r="B14" s="1"/>
      <c r="C14" s="6" t="s">
        <v>16</v>
      </c>
      <c r="D14" s="97" t="s">
        <v>235</v>
      </c>
      <c r="E14" s="98"/>
      <c r="F14" s="98"/>
      <c r="G14" s="99"/>
      <c r="H14" s="5"/>
      <c r="I14" s="1"/>
    </row>
    <row r="15" spans="1:9" x14ac:dyDescent="0.25">
      <c r="A15" s="1"/>
      <c r="B15" s="1"/>
      <c r="C15" s="6" t="s">
        <v>34</v>
      </c>
      <c r="D15" s="97" t="s">
        <v>170</v>
      </c>
      <c r="E15" s="98"/>
      <c r="F15" s="98"/>
      <c r="G15" s="99"/>
      <c r="H15" s="5"/>
      <c r="I15" s="1"/>
    </row>
    <row r="16" spans="1:9" x14ac:dyDescent="0.25">
      <c r="A16" s="1"/>
      <c r="B16" s="1"/>
      <c r="C16" s="6" t="s">
        <v>35</v>
      </c>
      <c r="D16" s="97" t="s">
        <v>182</v>
      </c>
      <c r="E16" s="98"/>
      <c r="F16" s="98"/>
      <c r="G16" s="99"/>
      <c r="H16" s="5"/>
      <c r="I16" s="1"/>
    </row>
    <row r="17" spans="1:9" x14ac:dyDescent="0.25">
      <c r="A17" s="1"/>
      <c r="B17" s="1"/>
      <c r="C17" s="6" t="s">
        <v>119</v>
      </c>
      <c r="D17" s="97" t="s">
        <v>183</v>
      </c>
      <c r="E17" s="98"/>
      <c r="F17" s="98"/>
      <c r="G17" s="99"/>
      <c r="H17" s="5"/>
      <c r="I17" s="1"/>
    </row>
    <row r="18" spans="1:9" x14ac:dyDescent="0.25">
      <c r="A18" s="1"/>
      <c r="B18" s="1"/>
      <c r="C18" s="6" t="s">
        <v>106</v>
      </c>
      <c r="D18" s="109" t="s">
        <v>95</v>
      </c>
      <c r="E18" s="110"/>
      <c r="F18" s="110"/>
      <c r="G18" s="111"/>
      <c r="H18" s="5"/>
      <c r="I18" s="1"/>
    </row>
    <row r="19" spans="1:9" x14ac:dyDescent="0.25">
      <c r="A19" s="1"/>
      <c r="B19" s="1"/>
      <c r="C19" s="6" t="s">
        <v>107</v>
      </c>
      <c r="D19" s="109" t="s">
        <v>96</v>
      </c>
      <c r="E19" s="110"/>
      <c r="F19" s="110"/>
      <c r="G19" s="111"/>
      <c r="H19" s="5"/>
      <c r="I19" s="1"/>
    </row>
    <row r="20" spans="1:9" x14ac:dyDescent="0.25">
      <c r="A20" s="1"/>
      <c r="B20" s="1"/>
      <c r="C20" s="6" t="s">
        <v>7</v>
      </c>
      <c r="D20" s="109" t="s">
        <v>10</v>
      </c>
      <c r="E20" s="110"/>
      <c r="F20" s="110"/>
      <c r="G20" s="111"/>
      <c r="H20" s="5"/>
      <c r="I20" s="1"/>
    </row>
    <row r="21" spans="1:9" x14ac:dyDescent="0.25">
      <c r="A21" s="1"/>
      <c r="B21" s="1"/>
      <c r="C21" s="6" t="s">
        <v>108</v>
      </c>
      <c r="D21" s="101" t="s">
        <v>12</v>
      </c>
      <c r="E21" s="102"/>
      <c r="F21" s="102"/>
      <c r="G21" s="103"/>
      <c r="H21" s="5"/>
      <c r="I21" s="1"/>
    </row>
    <row r="22" spans="1:9" x14ac:dyDescent="0.25">
      <c r="A22" s="1"/>
      <c r="B22" s="1"/>
      <c r="C22" s="6" t="s">
        <v>83</v>
      </c>
      <c r="D22" s="104" t="s">
        <v>184</v>
      </c>
      <c r="E22" s="105"/>
      <c r="F22" s="105"/>
      <c r="G22" s="106"/>
      <c r="H22" s="5"/>
      <c r="I22" s="1"/>
    </row>
    <row r="23" spans="1:9" x14ac:dyDescent="0.25">
      <c r="A23" s="1"/>
      <c r="B23" s="1"/>
      <c r="C23" s="6" t="s">
        <v>8</v>
      </c>
      <c r="D23" s="104" t="s">
        <v>253</v>
      </c>
      <c r="E23" s="105"/>
      <c r="F23" s="105"/>
      <c r="G23" s="106"/>
      <c r="H23" s="5"/>
      <c r="I23" s="1"/>
    </row>
    <row r="24" spans="1:9" x14ac:dyDescent="0.25">
      <c r="A24" s="1"/>
      <c r="B24" s="1"/>
      <c r="C24" s="6" t="s">
        <v>9</v>
      </c>
      <c r="D24" s="104" t="s">
        <v>185</v>
      </c>
      <c r="E24" s="105"/>
      <c r="F24" s="105"/>
      <c r="G24" s="106"/>
      <c r="H24" s="5"/>
      <c r="I24" s="1"/>
    </row>
    <row r="25" spans="1:9" x14ac:dyDescent="0.25">
      <c r="A25" s="1"/>
      <c r="B25" s="1"/>
      <c r="C25" s="6" t="s">
        <v>246</v>
      </c>
      <c r="D25" s="104" t="s">
        <v>237</v>
      </c>
      <c r="E25" s="105"/>
      <c r="F25" s="105"/>
      <c r="G25" s="106"/>
      <c r="H25" s="1"/>
      <c r="I25" s="1"/>
    </row>
    <row r="26" spans="1:9" x14ac:dyDescent="0.25">
      <c r="A26" s="1"/>
      <c r="B26" s="1"/>
      <c r="C26" s="6" t="s">
        <v>247</v>
      </c>
      <c r="D26" s="104" t="s">
        <v>84</v>
      </c>
      <c r="E26" s="105"/>
      <c r="F26" s="105"/>
      <c r="G26" s="106"/>
      <c r="H26" s="1"/>
      <c r="I26" s="1"/>
    </row>
    <row r="27" spans="1:9" x14ac:dyDescent="0.25">
      <c r="A27" s="1"/>
      <c r="B27" s="1"/>
      <c r="C27" s="6" t="s">
        <v>248</v>
      </c>
      <c r="D27" s="104" t="s">
        <v>85</v>
      </c>
      <c r="E27" s="105"/>
      <c r="F27" s="105"/>
      <c r="G27" s="106"/>
      <c r="H27" s="1"/>
      <c r="I27" s="1"/>
    </row>
    <row r="28" spans="1:9" x14ac:dyDescent="0.25">
      <c r="A28" s="1"/>
      <c r="B28" s="1"/>
      <c r="C28" s="6" t="s">
        <v>15</v>
      </c>
      <c r="D28" s="104" t="s">
        <v>86</v>
      </c>
      <c r="E28" s="105"/>
      <c r="F28" s="105"/>
      <c r="G28" s="106"/>
      <c r="H28" s="1"/>
      <c r="I28" s="1"/>
    </row>
    <row r="29" spans="1:9" x14ac:dyDescent="0.25">
      <c r="A29" s="1"/>
      <c r="B29" s="1"/>
      <c r="C29" s="6" t="s">
        <v>37</v>
      </c>
      <c r="D29" s="104" t="s">
        <v>134</v>
      </c>
      <c r="E29" s="105"/>
      <c r="F29" s="105"/>
      <c r="G29" s="106"/>
      <c r="H29" s="1"/>
      <c r="I29" s="1"/>
    </row>
    <row r="30" spans="1:9" x14ac:dyDescent="0.25">
      <c r="A30" s="1"/>
      <c r="B30" s="1"/>
      <c r="C30" s="6" t="s">
        <v>38</v>
      </c>
      <c r="D30" s="104" t="s">
        <v>36</v>
      </c>
      <c r="E30" s="105"/>
      <c r="F30" s="105"/>
      <c r="G30" s="106"/>
      <c r="H30" s="1"/>
      <c r="I30" s="1"/>
    </row>
    <row r="31" spans="1:9" x14ac:dyDescent="0.25">
      <c r="A31" s="1"/>
      <c r="B31" s="1"/>
      <c r="C31" s="6" t="s">
        <v>249</v>
      </c>
      <c r="D31" s="115" t="s">
        <v>105</v>
      </c>
      <c r="E31" s="116"/>
      <c r="F31" s="116"/>
      <c r="G31" s="117"/>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lcqObd+1VU8vNVvkqpJopa+8fAnh88hjxzGsvY+biRxXSydiY+L15QhdbKP+zqIYAyWEoaaDtztzXFO68NG0Cw==" saltValue="6V31yS/LPMSHQ5TWXBQ5h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22:G22" location="'Fane 7. Kontrol af ØR2021'!A1" display="Kontrol af den økonomiske ramme for 2021"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2'!A1" display="Omkostninger i ØR2022"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1'!A1" display="Korrektion af den økonomiske ramme for 2021"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2"/>
  <sheetViews>
    <sheetView showGridLines="0" view="pageLayout" zoomScaleNormal="100" workbookViewId="0">
      <selection activeCell="B22" sqref="B22"/>
    </sheetView>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8" t="s">
        <v>111</v>
      </c>
      <c r="C3" s="118"/>
      <c r="D3" s="118"/>
      <c r="E3" s="1"/>
      <c r="F3" s="1"/>
    </row>
    <row r="4" spans="1:6" ht="15" customHeight="1" x14ac:dyDescent="0.25">
      <c r="A4" s="1"/>
      <c r="B4" s="118"/>
      <c r="C4" s="118"/>
      <c r="D4" s="11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6" t="s">
        <v>199</v>
      </c>
      <c r="C8" s="127"/>
      <c r="D8" s="128"/>
      <c r="E8" s="1"/>
      <c r="F8" s="1"/>
    </row>
    <row r="9" spans="1:6" ht="15" customHeight="1" x14ac:dyDescent="0.25">
      <c r="A9" s="1"/>
      <c r="B9" s="26" t="s">
        <v>32</v>
      </c>
      <c r="C9" s="52" t="s">
        <v>240</v>
      </c>
      <c r="D9" s="11"/>
      <c r="E9" s="1"/>
      <c r="F9" s="1"/>
    </row>
    <row r="10" spans="1:6" x14ac:dyDescent="0.25">
      <c r="A10" s="1"/>
      <c r="B10" s="88" t="s">
        <v>269</v>
      </c>
      <c r="C10" s="9">
        <v>28400384</v>
      </c>
      <c r="D10" s="14" t="s">
        <v>3</v>
      </c>
      <c r="E10" s="1"/>
      <c r="F10" s="1"/>
    </row>
    <row r="11" spans="1:6" x14ac:dyDescent="0.25">
      <c r="A11" s="1"/>
      <c r="B11" s="88" t="s">
        <v>270</v>
      </c>
      <c r="C11" s="9">
        <v>1341109</v>
      </c>
      <c r="D11" s="14" t="s">
        <v>3</v>
      </c>
      <c r="E11" s="1"/>
      <c r="F11" s="1"/>
    </row>
    <row r="12" spans="1:6" ht="26.25" x14ac:dyDescent="0.25">
      <c r="A12" s="1"/>
      <c r="B12" s="28" t="s">
        <v>271</v>
      </c>
      <c r="C12" s="9">
        <v>2099305.58</v>
      </c>
      <c r="D12" s="14" t="s">
        <v>3</v>
      </c>
      <c r="E12" s="1"/>
      <c r="F12" s="1"/>
    </row>
    <row r="13" spans="1:6" x14ac:dyDescent="0.25">
      <c r="A13" s="1"/>
      <c r="B13" s="88" t="s">
        <v>272</v>
      </c>
      <c r="C13" s="9">
        <v>6091990.0800000001</v>
      </c>
      <c r="D13" s="14" t="s">
        <v>3</v>
      </c>
      <c r="E13" s="1"/>
      <c r="F13" s="1"/>
    </row>
    <row r="14" spans="1:6" x14ac:dyDescent="0.25">
      <c r="A14" s="1"/>
      <c r="B14" s="88" t="s">
        <v>273</v>
      </c>
      <c r="C14" s="9">
        <v>9322592.0700000003</v>
      </c>
      <c r="D14" s="14" t="s">
        <v>3</v>
      </c>
      <c r="E14" s="1"/>
      <c r="F14" s="1"/>
    </row>
    <row r="15" spans="1:6" x14ac:dyDescent="0.25">
      <c r="A15" s="1"/>
      <c r="B15" s="32" t="s">
        <v>200</v>
      </c>
      <c r="C15" s="12">
        <f>SUM(C10:C14)</f>
        <v>47255380.729999997</v>
      </c>
      <c r="D15" s="13" t="s">
        <v>3</v>
      </c>
      <c r="E15" s="1"/>
      <c r="F15" s="1"/>
    </row>
    <row r="16" spans="1:6" x14ac:dyDescent="0.25">
      <c r="A16" s="1"/>
      <c r="B16" s="32" t="s">
        <v>201</v>
      </c>
      <c r="C16" s="12">
        <f>C15*(1+'Fane 15. Nøgletal'!C15)^2</f>
        <v>50679853.417297974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6" t="s">
        <v>117</v>
      </c>
      <c r="C19" s="127"/>
      <c r="D19" s="128"/>
      <c r="E19" s="1"/>
      <c r="F19" s="1"/>
    </row>
    <row r="20" spans="1:6" x14ac:dyDescent="0.25">
      <c r="A20" s="1"/>
      <c r="B20" s="88" t="s">
        <v>99</v>
      </c>
      <c r="C20" s="9">
        <v>0</v>
      </c>
      <c r="D20" s="14" t="s">
        <v>3</v>
      </c>
      <c r="E20" s="1"/>
      <c r="F20" s="1"/>
    </row>
    <row r="21" spans="1:6" x14ac:dyDescent="0.25">
      <c r="A21" s="1"/>
      <c r="B21" s="88" t="s">
        <v>129</v>
      </c>
      <c r="C21" s="9">
        <v>0</v>
      </c>
      <c r="D21" s="14" t="s">
        <v>3</v>
      </c>
      <c r="E21" s="1"/>
      <c r="F21" s="1"/>
    </row>
    <row r="22" spans="1:6" x14ac:dyDescent="0.25">
      <c r="A22" s="1"/>
      <c r="B22" s="88" t="s">
        <v>155</v>
      </c>
      <c r="C22" s="9">
        <v>0</v>
      </c>
      <c r="D22" s="14" t="s">
        <v>3</v>
      </c>
      <c r="E22" s="1"/>
      <c r="F22" s="1"/>
    </row>
    <row r="23" spans="1:6" x14ac:dyDescent="0.25">
      <c r="A23" s="1"/>
      <c r="B23" s="33" t="s">
        <v>202</v>
      </c>
      <c r="C23" s="9">
        <v>0</v>
      </c>
      <c r="D23" s="40" t="s">
        <v>3</v>
      </c>
      <c r="E23" s="1"/>
      <c r="F23" s="1"/>
    </row>
    <row r="24" spans="1:6" x14ac:dyDescent="0.25">
      <c r="A24" s="1"/>
      <c r="B24" s="126"/>
      <c r="C24" s="127"/>
      <c r="D24" s="128"/>
      <c r="E24" s="1"/>
      <c r="F24" s="1"/>
    </row>
    <row r="25" spans="1:6" x14ac:dyDescent="0.25">
      <c r="A25" s="1"/>
      <c r="B25" s="1"/>
      <c r="C25" s="1"/>
      <c r="D25" s="1"/>
      <c r="E25" s="1"/>
      <c r="F25" s="1"/>
    </row>
    <row r="26" spans="1:6" x14ac:dyDescent="0.25">
      <c r="A26" s="1"/>
      <c r="B26" s="1"/>
      <c r="C26" s="1"/>
      <c r="D26" s="1"/>
      <c r="E26" s="1"/>
      <c r="F26" s="1"/>
    </row>
    <row r="27" spans="1:6" x14ac:dyDescent="0.25">
      <c r="A27" s="1"/>
      <c r="B27" s="126" t="s">
        <v>98</v>
      </c>
      <c r="C27" s="127"/>
      <c r="D27" s="128"/>
      <c r="E27" s="1"/>
      <c r="F27" s="1"/>
    </row>
    <row r="28" spans="1:6" x14ac:dyDescent="0.25">
      <c r="A28" s="1"/>
      <c r="B28" s="88" t="s">
        <v>99</v>
      </c>
      <c r="C28" s="9">
        <v>0</v>
      </c>
      <c r="D28" s="14" t="s">
        <v>3</v>
      </c>
      <c r="E28" s="1"/>
      <c r="F28" s="1"/>
    </row>
    <row r="29" spans="1:6" x14ac:dyDescent="0.25">
      <c r="A29" s="1"/>
      <c r="B29" s="88" t="s">
        <v>129</v>
      </c>
      <c r="C29" s="9">
        <v>0</v>
      </c>
      <c r="D29" s="14" t="s">
        <v>3</v>
      </c>
      <c r="E29" s="1"/>
      <c r="F29" s="1"/>
    </row>
    <row r="30" spans="1:6" x14ac:dyDescent="0.25">
      <c r="A30" s="1"/>
      <c r="B30" s="88" t="s">
        <v>155</v>
      </c>
      <c r="C30" s="9">
        <v>0</v>
      </c>
      <c r="D30" s="14" t="s">
        <v>3</v>
      </c>
      <c r="E30" s="1"/>
      <c r="F30" s="1"/>
    </row>
    <row r="31" spans="1:6" x14ac:dyDescent="0.25">
      <c r="A31" s="1"/>
      <c r="B31" s="33" t="s">
        <v>202</v>
      </c>
      <c r="C31" s="9">
        <v>0</v>
      </c>
      <c r="D31" s="40" t="s">
        <v>3</v>
      </c>
      <c r="E31" s="1"/>
      <c r="F31" s="1"/>
    </row>
    <row r="32" spans="1:6" x14ac:dyDescent="0.25">
      <c r="A32" s="1"/>
      <c r="B32" s="126"/>
      <c r="C32" s="127"/>
      <c r="D32" s="128"/>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j3HiJuakbotaPlj+LBz6z08MKFZ+/TVLseH3TG77YzXdKqALWy9zaucwT79faBFgPxUZr33d0eL6ZwViyXVGRw==" saltValue="BeckhB4JPptei+DPh+rOD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2"/>
  <dimension ref="A1:G41"/>
  <sheetViews>
    <sheetView showGridLines="0" view="pageLayout" zoomScale="80" zoomScaleNormal="100" zoomScalePageLayoutView="80" workbookViewId="0">
      <selection activeCell="B18" sqref="B18:F18"/>
    </sheetView>
  </sheetViews>
  <sheetFormatPr defaultColWidth="9.140625" defaultRowHeight="15" x14ac:dyDescent="0.25"/>
  <cols>
    <col min="1" max="1" width="3.5703125" style="2" customWidth="1"/>
    <col min="2" max="3" width="9.140625" style="2"/>
    <col min="4" max="4" width="40.85546875" style="2" customWidth="1"/>
    <col min="5" max="5" width="13.140625" style="2"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4" t="s">
        <v>203</v>
      </c>
      <c r="C3" s="134"/>
      <c r="D3" s="134"/>
      <c r="E3" s="134"/>
      <c r="F3" s="134"/>
      <c r="G3" s="1"/>
    </row>
    <row r="4" spans="1:7" ht="15" customHeight="1" x14ac:dyDescent="0.25">
      <c r="A4" s="1"/>
      <c r="B4" s="134"/>
      <c r="C4" s="134"/>
      <c r="D4" s="134"/>
      <c r="E4" s="134"/>
      <c r="F4" s="134"/>
      <c r="G4" s="1"/>
    </row>
    <row r="5" spans="1:7" ht="15" customHeight="1" x14ac:dyDescent="0.25">
      <c r="A5" s="1"/>
      <c r="B5" s="76"/>
      <c r="C5" s="76"/>
      <c r="D5" s="76"/>
      <c r="E5" s="76"/>
      <c r="F5" s="76"/>
      <c r="G5" s="1"/>
    </row>
    <row r="6" spans="1:7" ht="15" customHeight="1" x14ac:dyDescent="0.25">
      <c r="A6" s="1"/>
      <c r="B6" s="76"/>
      <c r="C6" s="76"/>
      <c r="D6" s="76"/>
      <c r="E6" s="76"/>
      <c r="F6" s="76"/>
      <c r="G6" s="1"/>
    </row>
    <row r="7" spans="1:7" x14ac:dyDescent="0.25">
      <c r="A7" s="1"/>
      <c r="B7" s="1"/>
      <c r="C7" s="1"/>
      <c r="D7" s="1"/>
      <c r="E7" s="1"/>
      <c r="F7" s="1"/>
      <c r="G7" s="1"/>
    </row>
    <row r="8" spans="1:7" x14ac:dyDescent="0.25">
      <c r="A8" s="1"/>
      <c r="B8" s="126" t="s">
        <v>178</v>
      </c>
      <c r="C8" s="127"/>
      <c r="D8" s="127"/>
      <c r="E8" s="127"/>
      <c r="F8" s="128"/>
      <c r="G8" s="1"/>
    </row>
    <row r="9" spans="1:7" x14ac:dyDescent="0.25">
      <c r="A9" s="1"/>
      <c r="B9" s="136" t="s">
        <v>204</v>
      </c>
      <c r="C9" s="137"/>
      <c r="D9" s="138"/>
      <c r="E9" s="9">
        <v>-19640157.386210561</v>
      </c>
      <c r="F9" s="14" t="s">
        <v>3</v>
      </c>
      <c r="G9" s="1"/>
    </row>
    <row r="10" spans="1:7" x14ac:dyDescent="0.25">
      <c r="A10" s="1"/>
      <c r="B10" s="136" t="s">
        <v>267</v>
      </c>
      <c r="C10" s="137"/>
      <c r="D10" s="138"/>
      <c r="E10" s="9">
        <v>-19640157.386210561</v>
      </c>
      <c r="F10" s="14" t="s">
        <v>3</v>
      </c>
      <c r="G10" s="1"/>
    </row>
    <row r="11" spans="1:7" x14ac:dyDescent="0.25">
      <c r="A11" s="1"/>
      <c r="B11" s="32"/>
      <c r="C11" s="27"/>
      <c r="D11" s="27"/>
      <c r="E11" s="27"/>
      <c r="F11" s="19"/>
      <c r="G11" s="1"/>
    </row>
    <row r="12" spans="1:7" ht="81" customHeight="1" x14ac:dyDescent="0.25">
      <c r="A12" s="1"/>
      <c r="B12" s="129" t="s">
        <v>289</v>
      </c>
      <c r="C12" s="130"/>
      <c r="D12" s="130"/>
      <c r="E12" s="130"/>
      <c r="F12" s="131"/>
      <c r="G12" s="1"/>
    </row>
    <row r="13" spans="1:7" ht="27" customHeight="1" x14ac:dyDescent="0.25">
      <c r="A13" s="1"/>
      <c r="B13" s="1"/>
      <c r="C13" s="1"/>
      <c r="D13" s="1"/>
      <c r="E13" s="1"/>
      <c r="F13" s="1"/>
      <c r="G13" s="1"/>
    </row>
    <row r="14" spans="1:7" ht="28.5" customHeight="1" x14ac:dyDescent="0.25">
      <c r="A14" s="1"/>
      <c r="B14" s="126" t="s">
        <v>179</v>
      </c>
      <c r="C14" s="127"/>
      <c r="D14" s="127"/>
      <c r="E14" s="127"/>
      <c r="F14" s="128"/>
      <c r="G14" s="1"/>
    </row>
    <row r="15" spans="1:7" x14ac:dyDescent="0.25">
      <c r="A15" s="1"/>
      <c r="B15" s="136" t="s">
        <v>284</v>
      </c>
      <c r="C15" s="137"/>
      <c r="D15" s="138"/>
      <c r="E15" s="9">
        <v>-9820078.6931052804</v>
      </c>
      <c r="F15" s="14" t="s">
        <v>3</v>
      </c>
      <c r="G15" s="1"/>
    </row>
    <row r="16" spans="1:7" x14ac:dyDescent="0.25">
      <c r="A16" s="1"/>
      <c r="B16" s="136" t="s">
        <v>285</v>
      </c>
      <c r="C16" s="137"/>
      <c r="D16" s="138"/>
      <c r="E16" s="9">
        <v>-9820078.6931052804</v>
      </c>
      <c r="F16" s="14" t="s">
        <v>3</v>
      </c>
      <c r="G16" s="1"/>
    </row>
    <row r="17" spans="1:7" x14ac:dyDescent="0.25">
      <c r="A17" s="1"/>
      <c r="B17" s="32"/>
      <c r="C17" s="27"/>
      <c r="D17" s="27"/>
      <c r="E17" s="27"/>
      <c r="F17" s="19"/>
      <c r="G17" s="1"/>
    </row>
    <row r="18" spans="1:7" ht="31.5" customHeight="1" x14ac:dyDescent="0.25">
      <c r="A18" s="1"/>
      <c r="B18" s="129" t="s">
        <v>290</v>
      </c>
      <c r="C18" s="130"/>
      <c r="D18" s="130"/>
      <c r="E18" s="130"/>
      <c r="F18" s="131"/>
      <c r="G18" s="1"/>
    </row>
    <row r="19" spans="1:7" ht="28.5" customHeight="1" x14ac:dyDescent="0.25">
      <c r="A19" s="1"/>
      <c r="B19" s="1"/>
      <c r="C19" s="1"/>
      <c r="D19" s="1"/>
      <c r="E19" s="1"/>
      <c r="F19" s="1"/>
      <c r="G19" s="1"/>
    </row>
    <row r="20" spans="1:7" ht="28.5" customHeight="1" x14ac:dyDescent="0.25">
      <c r="A20" s="1"/>
      <c r="B20" s="80" t="s">
        <v>205</v>
      </c>
      <c r="C20" s="81"/>
      <c r="D20" s="81"/>
      <c r="E20" s="81"/>
      <c r="F20" s="82"/>
      <c r="G20" s="1"/>
    </row>
    <row r="21" spans="1:7" x14ac:dyDescent="0.25">
      <c r="A21" s="1"/>
      <c r="B21" s="85" t="s">
        <v>206</v>
      </c>
      <c r="C21" s="86"/>
      <c r="D21" s="87"/>
      <c r="E21" s="9">
        <v>392269242.24324965</v>
      </c>
      <c r="F21" s="14" t="s">
        <v>3</v>
      </c>
      <c r="G21" s="1"/>
    </row>
    <row r="22" spans="1:7" x14ac:dyDescent="0.25">
      <c r="A22" s="1"/>
      <c r="B22" s="85" t="s">
        <v>207</v>
      </c>
      <c r="C22" s="86"/>
      <c r="D22" s="87"/>
      <c r="E22" s="9">
        <v>407333274.61000001</v>
      </c>
      <c r="F22" s="14" t="s">
        <v>3</v>
      </c>
      <c r="G22" s="1"/>
    </row>
    <row r="23" spans="1:7" x14ac:dyDescent="0.25">
      <c r="A23" s="1"/>
      <c r="B23" s="85" t="s">
        <v>33</v>
      </c>
      <c r="C23" s="86"/>
      <c r="D23" s="87"/>
      <c r="E23" s="9">
        <v>0</v>
      </c>
      <c r="F23" s="14" t="s">
        <v>3</v>
      </c>
      <c r="G23" s="1"/>
    </row>
    <row r="24" spans="1:7" x14ac:dyDescent="0.25">
      <c r="A24" s="1"/>
      <c r="B24" s="83" t="s">
        <v>274</v>
      </c>
      <c r="C24" s="84"/>
      <c r="D24" s="90"/>
      <c r="E24" s="66">
        <f>E21-(E22-E23)</f>
        <v>-15064032.36675036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6" t="s">
        <v>286</v>
      </c>
      <c r="C27" s="127"/>
      <c r="D27" s="127"/>
      <c r="E27" s="127"/>
      <c r="F27" s="128"/>
      <c r="G27" s="1"/>
    </row>
    <row r="28" spans="1:7" x14ac:dyDescent="0.25">
      <c r="A28" s="1"/>
      <c r="B28" s="132" t="s">
        <v>287</v>
      </c>
      <c r="C28" s="133"/>
      <c r="D28" s="156"/>
      <c r="E28" s="67">
        <f>IF(AND(E9&gt;0,(E9+E24)&gt;0),0,IF(AND(E9&gt;0,(E9+E24)&lt;0),0,IF(AND(E9&lt;0,E24&gt;0,E10=0),0,IF(AND(E9&lt;0,E24&gt;0,ABS(E10)&lt;ABS(E24)),ABS(E16),IF(AND(E9&lt;0,E24&gt;0,ABS(E10)&gt;ABS(E24),ABS(E16)&gt;ABS(E24)),-(ABS(E16)-ABS(E24)),IF(AND(E9&lt;0,E24&gt;0,ABS(E10)&gt;ABS(E24),ABS(E16)&lt;ABS(E24)),E24-ABS(E16),IF(AND(E9&lt;0,E24&lt;0),E16,0)))))))</f>
        <v>-9820078.6931052804</v>
      </c>
      <c r="F28" s="17" t="s">
        <v>3</v>
      </c>
      <c r="G28" s="1"/>
    </row>
    <row r="29" spans="1:7" x14ac:dyDescent="0.25">
      <c r="A29" s="1"/>
      <c r="B29" s="126"/>
      <c r="C29" s="127"/>
      <c r="D29" s="127"/>
      <c r="E29" s="127"/>
      <c r="F29" s="128"/>
      <c r="G29" s="1"/>
    </row>
    <row r="30" spans="1:7" x14ac:dyDescent="0.25">
      <c r="A30" s="1"/>
      <c r="B30" s="1"/>
      <c r="C30" s="1"/>
      <c r="D30" s="1"/>
      <c r="E30" s="1"/>
      <c r="F30" s="1"/>
      <c r="G30" s="1"/>
    </row>
    <row r="31" spans="1:7" ht="15.75" customHeight="1" x14ac:dyDescent="0.25">
      <c r="A31" s="1"/>
      <c r="B31" s="126" t="s">
        <v>268</v>
      </c>
      <c r="C31" s="127"/>
      <c r="D31" s="127"/>
      <c r="E31" s="127"/>
      <c r="F31" s="128"/>
      <c r="G31" s="1"/>
    </row>
    <row r="32" spans="1:7" x14ac:dyDescent="0.25">
      <c r="A32" s="1"/>
      <c r="B32" s="149" t="s">
        <v>143</v>
      </c>
      <c r="C32" s="150"/>
      <c r="D32" s="151"/>
      <c r="E32" s="68">
        <f>IF(AND(E9&gt;0,(E9+E24)&gt;0),0,IF(AND(E9&gt;0,(E9+E24)&lt;0),(E9+E24),IF(AND(E9&lt;0,E24&lt;0),E24,0)))</f>
        <v>-15064032.36675036</v>
      </c>
      <c r="F32" s="14" t="s">
        <v>3</v>
      </c>
      <c r="G32" s="1"/>
    </row>
    <row r="33" spans="1:7" x14ac:dyDescent="0.25">
      <c r="A33" s="1"/>
      <c r="B33" s="149" t="s">
        <v>102</v>
      </c>
      <c r="C33" s="150"/>
      <c r="D33" s="151"/>
      <c r="E33" s="9">
        <v>4</v>
      </c>
      <c r="F33" s="14" t="s">
        <v>20</v>
      </c>
      <c r="G33" s="1"/>
    </row>
    <row r="34" spans="1:7" x14ac:dyDescent="0.25">
      <c r="A34" s="1"/>
      <c r="B34" s="152" t="s">
        <v>144</v>
      </c>
      <c r="C34" s="152"/>
      <c r="D34" s="152"/>
      <c r="E34" s="67">
        <f>E32/E33</f>
        <v>-3766008.0916875899</v>
      </c>
      <c r="F34" s="17" t="s">
        <v>3</v>
      </c>
      <c r="G34" s="1"/>
    </row>
    <row r="35" spans="1:7" x14ac:dyDescent="0.25">
      <c r="A35" s="1"/>
      <c r="B35" s="153"/>
      <c r="C35" s="154"/>
      <c r="D35" s="154"/>
      <c r="E35" s="154"/>
      <c r="F35" s="15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B39" s="49"/>
      <c r="C39" s="49"/>
      <c r="D39" s="49"/>
      <c r="E39" s="49"/>
      <c r="F39" s="49"/>
    </row>
    <row r="40" spans="1:7" x14ac:dyDescent="0.25">
      <c r="A40" s="49"/>
      <c r="B40" s="49"/>
      <c r="C40" s="49"/>
      <c r="D40" s="49"/>
      <c r="E40" s="49"/>
      <c r="F40" s="49"/>
      <c r="G40" s="49"/>
    </row>
    <row r="41" spans="1:7" x14ac:dyDescent="0.25">
      <c r="A41" s="49"/>
      <c r="B41" s="49"/>
      <c r="C41" s="49"/>
      <c r="D41" s="49"/>
      <c r="E41" s="49"/>
      <c r="F41" s="49"/>
      <c r="G41" s="49"/>
    </row>
  </sheetData>
  <sheetProtection algorithmName="SHA-512" hashValue="luXkY6JKvxq4eWMVFrZi2ErlUcHJ9nnfcWOZeC69aQOlhLYO+qinxda4b0XTv+8zYpUXdvuV7fwM3WK0FXTdvQ==" saltValue="A7IiTvAjOXBBaycemEnUmA=="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43"/>
  <sheetViews>
    <sheetView view="pageLayout" zoomScaleNormal="100" workbookViewId="0"/>
  </sheetViews>
  <sheetFormatPr defaultColWidth="9.140625" defaultRowHeight="15" x14ac:dyDescent="0.25"/>
  <cols>
    <col min="1" max="1" width="4.7109375" style="63" customWidth="1"/>
    <col min="2" max="2" width="22.5703125" style="63" customWidth="1"/>
    <col min="3" max="3" width="8.28515625" style="63" customWidth="1"/>
    <col min="4" max="6" width="10.7109375" style="63" customWidth="1"/>
    <col min="7" max="7" width="11.140625" style="63" customWidth="1"/>
    <col min="8" max="8" width="3.28515625" style="63" customWidth="1"/>
    <col min="9" max="9" width="4.85546875" style="63" customWidth="1"/>
    <col min="10" max="16384" width="9.140625" style="63"/>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8" t="s">
        <v>250</v>
      </c>
      <c r="C3" s="118"/>
      <c r="D3" s="118"/>
      <c r="E3" s="118"/>
      <c r="F3" s="118"/>
      <c r="G3" s="118"/>
      <c r="H3" s="118"/>
      <c r="I3" s="1"/>
    </row>
    <row r="4" spans="1:9" ht="15" customHeight="1" x14ac:dyDescent="0.25">
      <c r="A4" s="1"/>
      <c r="B4" s="118"/>
      <c r="C4" s="118"/>
      <c r="D4" s="118"/>
      <c r="E4" s="118"/>
      <c r="F4" s="118"/>
      <c r="G4" s="118"/>
      <c r="H4" s="11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6" t="s">
        <v>262</v>
      </c>
      <c r="C8" s="127"/>
      <c r="D8" s="127"/>
      <c r="E8" s="127"/>
      <c r="F8" s="127"/>
      <c r="G8" s="127"/>
      <c r="H8" s="128"/>
      <c r="I8" s="1"/>
    </row>
    <row r="9" spans="1:9" ht="15" customHeight="1" x14ac:dyDescent="0.25">
      <c r="A9" s="1"/>
      <c r="B9" s="123" t="s">
        <v>251</v>
      </c>
      <c r="C9" s="124"/>
      <c r="D9" s="124"/>
      <c r="E9" s="124"/>
      <c r="F9" s="124"/>
      <c r="G9" s="124"/>
      <c r="H9" s="125"/>
      <c r="I9" s="1"/>
    </row>
    <row r="10" spans="1:9" x14ac:dyDescent="0.25">
      <c r="A10" s="1"/>
      <c r="B10" s="157" t="s">
        <v>276</v>
      </c>
      <c r="C10" s="158"/>
      <c r="D10" s="158"/>
      <c r="E10" s="158"/>
      <c r="F10" s="159"/>
      <c r="G10" s="9">
        <v>0</v>
      </c>
      <c r="H10" s="9" t="s">
        <v>3</v>
      </c>
      <c r="I10" s="1"/>
    </row>
    <row r="11" spans="1:9" x14ac:dyDescent="0.25">
      <c r="A11" s="1"/>
      <c r="B11" s="157" t="s">
        <v>277</v>
      </c>
      <c r="C11" s="158"/>
      <c r="D11" s="158"/>
      <c r="E11" s="158"/>
      <c r="F11" s="159"/>
      <c r="G11" s="9">
        <v>0</v>
      </c>
      <c r="H11" s="9" t="s">
        <v>3</v>
      </c>
      <c r="I11" s="1"/>
    </row>
    <row r="12" spans="1:9" x14ac:dyDescent="0.25">
      <c r="A12" s="1"/>
      <c r="B12" s="157" t="s">
        <v>278</v>
      </c>
      <c r="C12" s="158"/>
      <c r="D12" s="158"/>
      <c r="E12" s="158"/>
      <c r="F12" s="159"/>
      <c r="G12" s="9">
        <v>0</v>
      </c>
      <c r="H12" s="9" t="s">
        <v>3</v>
      </c>
      <c r="I12" s="1"/>
    </row>
    <row r="13" spans="1:9" x14ac:dyDescent="0.25">
      <c r="A13" s="1"/>
      <c r="B13" s="157" t="s">
        <v>279</v>
      </c>
      <c r="C13" s="158"/>
      <c r="D13" s="158"/>
      <c r="E13" s="158"/>
      <c r="F13" s="159"/>
      <c r="G13" s="9">
        <v>0</v>
      </c>
      <c r="H13" s="9" t="s">
        <v>3</v>
      </c>
      <c r="I13" s="1"/>
    </row>
    <row r="14" spans="1:9" x14ac:dyDescent="0.25">
      <c r="A14" s="1"/>
      <c r="B14" s="157" t="s">
        <v>280</v>
      </c>
      <c r="C14" s="158"/>
      <c r="D14" s="158"/>
      <c r="E14" s="158"/>
      <c r="F14" s="159"/>
      <c r="G14" s="9">
        <v>0</v>
      </c>
      <c r="H14" s="9" t="s">
        <v>3</v>
      </c>
      <c r="I14" s="1"/>
    </row>
    <row r="15" spans="1:9" x14ac:dyDescent="0.25">
      <c r="A15" s="1"/>
      <c r="B15" s="157" t="s">
        <v>281</v>
      </c>
      <c r="C15" s="158"/>
      <c r="D15" s="158"/>
      <c r="E15" s="158"/>
      <c r="F15" s="159"/>
      <c r="G15" s="9">
        <v>0</v>
      </c>
      <c r="H15" s="9" t="s">
        <v>3</v>
      </c>
      <c r="I15" s="1"/>
    </row>
    <row r="16" spans="1:9" x14ac:dyDescent="0.25">
      <c r="A16" s="1"/>
      <c r="B16" s="157" t="s">
        <v>282</v>
      </c>
      <c r="C16" s="158"/>
      <c r="D16" s="158"/>
      <c r="E16" s="158"/>
      <c r="F16" s="159"/>
      <c r="G16" s="9">
        <v>0</v>
      </c>
      <c r="H16" s="9" t="s">
        <v>3</v>
      </c>
      <c r="I16" s="1"/>
    </row>
    <row r="17" spans="1:9" x14ac:dyDescent="0.25">
      <c r="A17" s="1"/>
      <c r="B17" s="157" t="s">
        <v>283</v>
      </c>
      <c r="C17" s="158"/>
      <c r="D17" s="158"/>
      <c r="E17" s="158"/>
      <c r="F17" s="159"/>
      <c r="G17" s="9">
        <v>0</v>
      </c>
      <c r="H17" s="9" t="s">
        <v>3</v>
      </c>
      <c r="I17" s="1"/>
    </row>
    <row r="18" spans="1:9" x14ac:dyDescent="0.25">
      <c r="A18" s="1"/>
      <c r="B18" s="126" t="s">
        <v>252</v>
      </c>
      <c r="C18" s="127"/>
      <c r="D18" s="127"/>
      <c r="E18" s="127"/>
      <c r="F18" s="12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3oFcg/HVfjtZTkfHvhJeoWlyFWIhkLCKn5cqbVUloVp2gdPv1BmdJFFYYI2sTUmh+k2gRcArgYV4m7ADmR7dQ==" saltValue="pjd/ygHWW0bqGqoXporZZw=="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4" t="s">
        <v>254</v>
      </c>
      <c r="C3" s="134"/>
      <c r="D3" s="134"/>
      <c r="E3" s="134"/>
      <c r="F3" s="134"/>
      <c r="G3" s="1"/>
    </row>
    <row r="4" spans="1:7" ht="1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6" t="s">
        <v>208</v>
      </c>
      <c r="C9" s="127"/>
      <c r="D9" s="127"/>
      <c r="E9" s="127"/>
      <c r="F9" s="128"/>
      <c r="G9" s="1"/>
    </row>
    <row r="10" spans="1:7" x14ac:dyDescent="0.25">
      <c r="A10" s="1"/>
      <c r="B10" s="129" t="s">
        <v>100</v>
      </c>
      <c r="C10" s="130"/>
      <c r="D10" s="131"/>
      <c r="E10" s="7">
        <v>0</v>
      </c>
      <c r="F10" s="8" t="s">
        <v>3</v>
      </c>
      <c r="G10" s="1"/>
    </row>
    <row r="11" spans="1:7" x14ac:dyDescent="0.25">
      <c r="A11" s="1"/>
      <c r="B11" s="136" t="s">
        <v>209</v>
      </c>
      <c r="C11" s="137"/>
      <c r="D11" s="138"/>
      <c r="E11" s="7">
        <v>0</v>
      </c>
      <c r="F11" s="8" t="s">
        <v>3</v>
      </c>
      <c r="G11" s="1"/>
    </row>
    <row r="12" spans="1:7" x14ac:dyDescent="0.25">
      <c r="A12" s="1"/>
      <c r="B12" s="132" t="s">
        <v>101</v>
      </c>
      <c r="C12" s="133"/>
      <c r="D12" s="156"/>
      <c r="E12" s="10">
        <f>E11-E10</f>
        <v>0</v>
      </c>
      <c r="F12" s="11" t="s">
        <v>3</v>
      </c>
      <c r="G12" s="1"/>
    </row>
    <row r="13" spans="1:7" x14ac:dyDescent="0.25">
      <c r="A13" s="1"/>
      <c r="B13" s="126" t="s">
        <v>94</v>
      </c>
      <c r="C13" s="127"/>
      <c r="D13" s="127"/>
      <c r="E13" s="127"/>
      <c r="F13" s="128"/>
      <c r="G13" s="1"/>
    </row>
    <row r="14" spans="1:7" x14ac:dyDescent="0.25">
      <c r="A14" s="1"/>
      <c r="B14" s="136" t="s">
        <v>210</v>
      </c>
      <c r="C14" s="137"/>
      <c r="D14" s="138"/>
      <c r="E14" s="9">
        <v>0</v>
      </c>
      <c r="F14" s="8" t="s">
        <v>3</v>
      </c>
      <c r="G14" s="1"/>
    </row>
    <row r="15" spans="1:7" x14ac:dyDescent="0.25">
      <c r="A15" s="1"/>
      <c r="B15" s="129" t="s">
        <v>211</v>
      </c>
      <c r="C15" s="130"/>
      <c r="D15" s="131"/>
      <c r="E15" s="9">
        <v>0</v>
      </c>
      <c r="F15" s="8" t="s">
        <v>3</v>
      </c>
      <c r="G15" s="1"/>
    </row>
    <row r="16" spans="1:7" x14ac:dyDescent="0.25">
      <c r="A16" s="1"/>
      <c r="B16" s="132" t="s">
        <v>101</v>
      </c>
      <c r="C16" s="133"/>
      <c r="D16" s="156"/>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x1fOWGuor7PjGRFCsNPgXol/MvVHQ5mqpUXoV+fXhuGr9foWlbnJNJApMWlSN1LQE/wgHCqG408hnJVc7wVQ==" saltValue="W8UtZobn+3u/J1z4of5jG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election activeCell="B15" sqref="B15"/>
    </sheetView>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8" t="s">
        <v>255</v>
      </c>
      <c r="C3" s="118"/>
      <c r="D3" s="118"/>
      <c r="E3" s="118"/>
      <c r="F3" s="118"/>
      <c r="G3" s="118"/>
      <c r="H3" s="118"/>
      <c r="I3" s="118"/>
      <c r="J3" s="118"/>
      <c r="K3" s="118"/>
      <c r="L3" s="1"/>
    </row>
    <row r="4" spans="1:12" ht="15" customHeight="1" x14ac:dyDescent="0.25">
      <c r="A4" s="1"/>
      <c r="B4" s="118"/>
      <c r="C4" s="118"/>
      <c r="D4" s="118"/>
      <c r="E4" s="118"/>
      <c r="F4" s="118"/>
      <c r="G4" s="118"/>
      <c r="H4" s="118"/>
      <c r="I4" s="118"/>
      <c r="J4" s="118"/>
      <c r="K4" s="11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6" t="s">
        <v>219</v>
      </c>
      <c r="C8" s="127"/>
      <c r="D8" s="127"/>
      <c r="E8" s="127"/>
      <c r="F8" s="127"/>
      <c r="G8" s="127"/>
      <c r="H8" s="127"/>
      <c r="I8" s="127"/>
      <c r="J8" s="127"/>
      <c r="K8" s="128"/>
      <c r="L8" s="1"/>
    </row>
    <row r="9" spans="1:12" ht="39.75" customHeight="1" x14ac:dyDescent="0.25">
      <c r="A9" s="1"/>
      <c r="B9" s="18" t="s">
        <v>0</v>
      </c>
      <c r="C9" s="18" t="s">
        <v>1</v>
      </c>
      <c r="D9" s="160" t="s">
        <v>245</v>
      </c>
      <c r="E9" s="161"/>
      <c r="F9" s="160" t="s">
        <v>2</v>
      </c>
      <c r="G9" s="161"/>
      <c r="H9" s="160" t="s">
        <v>244</v>
      </c>
      <c r="I9" s="161"/>
      <c r="J9" s="160" t="s">
        <v>30</v>
      </c>
      <c r="K9" s="161"/>
      <c r="L9" s="1"/>
    </row>
    <row r="10" spans="1:12" ht="26.25" x14ac:dyDescent="0.25">
      <c r="A10" s="1"/>
      <c r="B10" s="91" t="s">
        <v>263</v>
      </c>
      <c r="C10" s="41">
        <v>60</v>
      </c>
      <c r="D10" s="9">
        <v>5395757</v>
      </c>
      <c r="E10" s="14" t="s">
        <v>3</v>
      </c>
      <c r="F10" s="9">
        <f>IFERROR(D10/C10,0)</f>
        <v>89929.28333333334</v>
      </c>
      <c r="G10" s="14" t="s">
        <v>3</v>
      </c>
      <c r="H10" s="44">
        <v>0</v>
      </c>
      <c r="I10" s="14" t="s">
        <v>3</v>
      </c>
      <c r="J10" s="44">
        <v>0</v>
      </c>
      <c r="K10" s="14" t="s">
        <v>3</v>
      </c>
      <c r="L10" s="1"/>
    </row>
    <row r="11" spans="1:12" x14ac:dyDescent="0.25">
      <c r="A11" s="1"/>
      <c r="B11" s="91" t="s">
        <v>264</v>
      </c>
      <c r="C11" s="41">
        <v>20</v>
      </c>
      <c r="D11" s="9">
        <v>6446455</v>
      </c>
      <c r="E11" s="14" t="s">
        <v>3</v>
      </c>
      <c r="F11" s="9">
        <f t="shared" ref="F11:F13" si="0">IFERROR(D11/C11,0)</f>
        <v>322322.75</v>
      </c>
      <c r="G11" s="14" t="s">
        <v>3</v>
      </c>
      <c r="H11" s="44">
        <v>0</v>
      </c>
      <c r="I11" s="14" t="s">
        <v>3</v>
      </c>
      <c r="J11" s="44">
        <v>0</v>
      </c>
      <c r="K11" s="14" t="s">
        <v>3</v>
      </c>
      <c r="L11" s="1"/>
    </row>
    <row r="12" spans="1:12" x14ac:dyDescent="0.25">
      <c r="A12" s="1"/>
      <c r="B12" s="91" t="s">
        <v>265</v>
      </c>
      <c r="C12" s="41">
        <v>10</v>
      </c>
      <c r="D12" s="9">
        <v>141596</v>
      </c>
      <c r="E12" s="14" t="s">
        <v>3</v>
      </c>
      <c r="F12" s="9">
        <f t="shared" si="0"/>
        <v>14159.6</v>
      </c>
      <c r="G12" s="14" t="s">
        <v>3</v>
      </c>
      <c r="H12" s="44">
        <v>0</v>
      </c>
      <c r="I12" s="14" t="s">
        <v>3</v>
      </c>
      <c r="J12" s="44">
        <v>0</v>
      </c>
      <c r="K12" s="14" t="s">
        <v>3</v>
      </c>
      <c r="L12" s="1"/>
    </row>
    <row r="13" spans="1:12" ht="26.25" x14ac:dyDescent="0.25">
      <c r="A13" s="1"/>
      <c r="B13" s="91" t="s">
        <v>266</v>
      </c>
      <c r="C13" s="41">
        <v>20</v>
      </c>
      <c r="D13" s="9">
        <v>303903</v>
      </c>
      <c r="E13" s="14" t="s">
        <v>3</v>
      </c>
      <c r="F13" s="9">
        <f t="shared" si="0"/>
        <v>15195.15</v>
      </c>
      <c r="G13" s="14" t="s">
        <v>3</v>
      </c>
      <c r="H13" s="44">
        <v>0</v>
      </c>
      <c r="I13" s="14" t="s">
        <v>3</v>
      </c>
      <c r="J13" s="44">
        <v>0</v>
      </c>
      <c r="K13" s="14" t="s">
        <v>3</v>
      </c>
      <c r="L13" s="1"/>
    </row>
    <row r="14" spans="1:12" x14ac:dyDescent="0.25">
      <c r="A14" s="1"/>
      <c r="B14" s="80" t="s">
        <v>220</v>
      </c>
      <c r="C14" s="81"/>
      <c r="D14" s="82"/>
      <c r="E14" s="82"/>
      <c r="F14" s="12">
        <f>SUM(F10:F13)</f>
        <v>441606.78333333333</v>
      </c>
      <c r="G14" s="12" t="s">
        <v>243</v>
      </c>
      <c r="H14" s="12">
        <f>SUM(H10:H13)</f>
        <v>0</v>
      </c>
      <c r="I14" s="12" t="s">
        <v>243</v>
      </c>
      <c r="J14" s="12">
        <f>SUM(J10:J13)</f>
        <v>0</v>
      </c>
      <c r="K14" s="13" t="s">
        <v>3</v>
      </c>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WcsJvv4zt7xUt0NxE2DGAHVK4FkwalvlSN2kfUqFV8H+fi34fAHpD5zJcoIUVmqWtLzLKvpQwPw8yKP8p2txOw==" saltValue="WCQkwtPKijKnR7UU/o8KO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256</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78" t="s">
        <v>17</v>
      </c>
      <c r="C9" s="78" t="s">
        <v>11</v>
      </c>
      <c r="D9" s="79"/>
      <c r="E9" s="78" t="s">
        <v>31</v>
      </c>
      <c r="F9" s="31"/>
      <c r="G9" s="1"/>
    </row>
    <row r="10" spans="1:7" x14ac:dyDescent="0.25">
      <c r="A10" s="1"/>
      <c r="B10" s="23" t="s">
        <v>226</v>
      </c>
      <c r="C10" s="21">
        <f>'Fane 10. Anlægsprojekter (§ 19)'!H14</f>
        <v>0</v>
      </c>
      <c r="D10" s="14" t="s">
        <v>3</v>
      </c>
      <c r="E10" s="9">
        <f>SUM('Fane 10. Anlægsprojekter (§ 19)'!F14,'Fane 10. Anlægsprojekter (§ 19)'!J14)</f>
        <v>441606.78333333333</v>
      </c>
      <c r="F10" s="14" t="s">
        <v>3</v>
      </c>
      <c r="G10" s="1"/>
    </row>
    <row r="11" spans="1:7" x14ac:dyDescent="0.25">
      <c r="A11" s="1"/>
      <c r="B11" s="32" t="s">
        <v>156</v>
      </c>
      <c r="C11" s="12">
        <f>SUM(C10:C10)</f>
        <v>0</v>
      </c>
      <c r="D11" s="13" t="s">
        <v>3</v>
      </c>
      <c r="E11" s="12">
        <f>SUM(E10:E10)</f>
        <v>441606.78333333333</v>
      </c>
      <c r="F11" s="13" t="s">
        <v>3</v>
      </c>
      <c r="G11" s="1"/>
    </row>
    <row r="12" spans="1:7" x14ac:dyDescent="0.25">
      <c r="A12" s="1"/>
      <c r="B12" s="32" t="s">
        <v>213</v>
      </c>
      <c r="C12" s="12">
        <f>C11*(1+'Fane 15. Nøgletal'!C15)</f>
        <v>0</v>
      </c>
      <c r="D12" s="13" t="s">
        <v>3</v>
      </c>
      <c r="E12" s="12">
        <f>E11*(1+'Fane 15. Nøgletal'!C15)</f>
        <v>457327.98482000001</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n8lzXV8zyk5oz8RiIWYNUWRlXkllG31Gkyk9Yr8sbqq+ZhwVc4G0BKGlS6zWUqVZLzVk0EN7/gC91PqG4VXa/A==" saltValue="tukPG3h7c2+uy4TM0phAz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8" t="s">
        <v>257</v>
      </c>
      <c r="C3" s="118"/>
      <c r="D3" s="118"/>
      <c r="E3" s="118"/>
      <c r="F3" s="118"/>
      <c r="G3" s="1"/>
    </row>
    <row r="4" spans="1:7" ht="15" customHeight="1" x14ac:dyDescent="0.25">
      <c r="A4" s="1"/>
      <c r="B4" s="118"/>
      <c r="C4" s="118"/>
      <c r="D4" s="118"/>
      <c r="E4" s="118"/>
      <c r="F4" s="11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97</v>
      </c>
      <c r="C8" s="127"/>
      <c r="D8" s="127"/>
      <c r="E8" s="127"/>
      <c r="F8" s="128"/>
      <c r="G8" s="1"/>
    </row>
    <row r="9" spans="1:7" x14ac:dyDescent="0.25">
      <c r="A9" s="1"/>
      <c r="B9" s="78" t="s">
        <v>17</v>
      </c>
      <c r="C9" s="78" t="s">
        <v>11</v>
      </c>
      <c r="D9" s="79"/>
      <c r="E9" s="78" t="s">
        <v>31</v>
      </c>
      <c r="F9" s="31"/>
      <c r="G9" s="1"/>
    </row>
    <row r="10" spans="1:7" x14ac:dyDescent="0.25">
      <c r="A10" s="1"/>
      <c r="B10" s="23" t="s">
        <v>291</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2"/>
      <c r="C14" s="162"/>
      <c r="D14" s="162"/>
      <c r="E14" s="162"/>
      <c r="F14" s="162"/>
      <c r="G14" s="1"/>
    </row>
    <row r="15" spans="1:7" x14ac:dyDescent="0.25">
      <c r="A15" s="1"/>
      <c r="B15" s="54"/>
      <c r="C15" s="54"/>
      <c r="D15" s="54"/>
      <c r="E15" s="54"/>
      <c r="F15" s="55"/>
      <c r="G15" s="1"/>
    </row>
    <row r="16" spans="1:7" x14ac:dyDescent="0.25">
      <c r="A16" s="1"/>
      <c r="B16" s="56"/>
      <c r="C16" s="57"/>
      <c r="D16" s="58"/>
      <c r="E16" s="59"/>
      <c r="F16" s="58"/>
      <c r="G16" s="1"/>
    </row>
    <row r="17" spans="1:7" x14ac:dyDescent="0.25">
      <c r="A17" s="1"/>
      <c r="B17" s="56"/>
      <c r="C17" s="57"/>
      <c r="D17" s="58"/>
      <c r="E17" s="59"/>
      <c r="F17" s="58"/>
      <c r="G17" s="1"/>
    </row>
    <row r="18" spans="1:7" x14ac:dyDescent="0.25">
      <c r="A18" s="1"/>
      <c r="B18" s="60"/>
      <c r="C18" s="61"/>
      <c r="D18" s="62"/>
      <c r="E18" s="61"/>
      <c r="F18" s="62"/>
      <c r="G18" s="1"/>
    </row>
    <row r="19" spans="1:7" x14ac:dyDescent="0.25">
      <c r="A19" s="1"/>
      <c r="B19" s="60"/>
      <c r="C19" s="61"/>
      <c r="D19" s="62"/>
      <c r="E19" s="61"/>
      <c r="F19" s="62"/>
      <c r="G19" s="1"/>
    </row>
    <row r="20" spans="1:7" x14ac:dyDescent="0.25">
      <c r="A20" s="1"/>
      <c r="B20" s="53"/>
      <c r="C20" s="53"/>
      <c r="D20" s="53"/>
      <c r="E20" s="53"/>
      <c r="F20" s="53"/>
      <c r="G20" s="1"/>
    </row>
    <row r="21" spans="1:7" x14ac:dyDescent="0.25">
      <c r="A21" s="1"/>
      <c r="B21" s="162"/>
      <c r="C21" s="162"/>
      <c r="D21" s="162"/>
      <c r="E21" s="162"/>
      <c r="F21" s="162"/>
      <c r="G21" s="1"/>
    </row>
    <row r="22" spans="1:7" x14ac:dyDescent="0.25">
      <c r="A22" s="1"/>
      <c r="B22" s="54"/>
      <c r="C22" s="54"/>
      <c r="D22" s="54"/>
      <c r="E22" s="54"/>
      <c r="F22" s="55"/>
      <c r="G22" s="1"/>
    </row>
    <row r="23" spans="1:7" x14ac:dyDescent="0.25">
      <c r="A23" s="1"/>
      <c r="B23" s="56"/>
      <c r="C23" s="57"/>
      <c r="D23" s="58"/>
      <c r="E23" s="59"/>
      <c r="F23" s="58"/>
      <c r="G23" s="1"/>
    </row>
    <row r="24" spans="1:7" x14ac:dyDescent="0.25">
      <c r="A24" s="1"/>
      <c r="B24" s="56"/>
      <c r="C24" s="57"/>
      <c r="D24" s="58"/>
      <c r="E24" s="59"/>
      <c r="F24" s="58"/>
      <c r="G24" s="1"/>
    </row>
    <row r="25" spans="1:7" x14ac:dyDescent="0.25">
      <c r="A25" s="1"/>
      <c r="B25" s="60"/>
      <c r="C25" s="61"/>
      <c r="D25" s="62"/>
      <c r="E25" s="61"/>
      <c r="F25" s="62"/>
      <c r="G25" s="1"/>
    </row>
    <row r="26" spans="1:7" x14ac:dyDescent="0.25">
      <c r="A26" s="1"/>
      <c r="B26" s="60"/>
      <c r="C26" s="61"/>
      <c r="D26" s="62"/>
      <c r="E26" s="61"/>
      <c r="F26" s="62"/>
      <c r="G26" s="1"/>
    </row>
    <row r="27" spans="1:7" x14ac:dyDescent="0.25">
      <c r="A27" s="1"/>
      <c r="B27" s="53"/>
      <c r="C27" s="53"/>
      <c r="D27" s="53"/>
      <c r="E27" s="53"/>
      <c r="F27" s="53"/>
      <c r="G27" s="1"/>
    </row>
    <row r="28" spans="1:7" x14ac:dyDescent="0.25">
      <c r="A28" s="1"/>
      <c r="B28" s="162"/>
      <c r="C28" s="162"/>
      <c r="D28" s="162"/>
      <c r="E28" s="162"/>
      <c r="F28" s="162"/>
      <c r="G28" s="1"/>
    </row>
    <row r="29" spans="1:7" x14ac:dyDescent="0.25">
      <c r="A29" s="1"/>
      <c r="B29" s="54"/>
      <c r="C29" s="54"/>
      <c r="D29" s="54"/>
      <c r="E29" s="54"/>
      <c r="F29" s="55"/>
      <c r="G29" s="1"/>
    </row>
    <row r="30" spans="1:7" x14ac:dyDescent="0.25">
      <c r="A30" s="1"/>
      <c r="B30" s="56"/>
      <c r="C30" s="57"/>
      <c r="D30" s="58"/>
      <c r="E30" s="59"/>
      <c r="F30" s="58"/>
      <c r="G30" s="1"/>
    </row>
    <row r="31" spans="1:7" x14ac:dyDescent="0.25">
      <c r="A31" s="1"/>
      <c r="B31" s="56"/>
      <c r="C31" s="57"/>
      <c r="D31" s="58"/>
      <c r="E31" s="59"/>
      <c r="F31" s="58"/>
      <c r="G31" s="1"/>
    </row>
    <row r="32" spans="1:7" x14ac:dyDescent="0.25">
      <c r="A32" s="1"/>
      <c r="B32" s="60"/>
      <c r="C32" s="61"/>
      <c r="D32" s="62"/>
      <c r="E32" s="61"/>
      <c r="F32" s="62"/>
      <c r="G32" s="1"/>
    </row>
    <row r="33" spans="1:7" x14ac:dyDescent="0.25">
      <c r="A33" s="1"/>
      <c r="B33" s="60"/>
      <c r="C33" s="61"/>
      <c r="D33" s="62"/>
      <c r="E33" s="61"/>
      <c r="F33" s="62"/>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OEZrqSnx2tFKo/fI8yllcZZIO1Z0hCBf/oZUGbOyNdJsWX6af7ecBdfsePCfL10ZmTuiiZdvY9cWeUtQeShLNg==" saltValue="J46HtQHg4nkvVv97oydMi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258</v>
      </c>
      <c r="C3" s="134"/>
      <c r="D3" s="134"/>
      <c r="E3" s="134"/>
      <c r="F3" s="134"/>
      <c r="G3" s="1"/>
    </row>
    <row r="4" spans="1:7" ht="15" customHeight="1" x14ac:dyDescent="0.25">
      <c r="A4" s="1"/>
      <c r="B4" s="134"/>
      <c r="C4" s="134"/>
      <c r="D4" s="134"/>
      <c r="E4" s="134"/>
      <c r="F4" s="134"/>
      <c r="G4" s="1"/>
    </row>
    <row r="5" spans="1:7" x14ac:dyDescent="0.25">
      <c r="A5" s="1"/>
      <c r="B5" s="134"/>
      <c r="C5" s="134"/>
      <c r="D5" s="134"/>
      <c r="E5" s="134"/>
      <c r="F5" s="13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6" t="s">
        <v>91</v>
      </c>
      <c r="C9" s="127"/>
      <c r="D9" s="127"/>
      <c r="E9" s="127"/>
      <c r="F9" s="128"/>
      <c r="G9" s="1"/>
    </row>
    <row r="10" spans="1:7" x14ac:dyDescent="0.25">
      <c r="A10" s="1"/>
      <c r="B10" s="157" t="s">
        <v>224</v>
      </c>
      <c r="C10" s="158"/>
      <c r="D10" s="159"/>
      <c r="E10" s="9">
        <v>0</v>
      </c>
      <c r="F10" s="14" t="s">
        <v>3</v>
      </c>
      <c r="G10" s="1"/>
    </row>
    <row r="11" spans="1:7" x14ac:dyDescent="0.25">
      <c r="A11" s="1"/>
      <c r="B11" s="120" t="s">
        <v>10</v>
      </c>
      <c r="C11" s="121"/>
      <c r="D11" s="122"/>
      <c r="E11" s="9">
        <f>-E10*'Fane 5. Individuelt eff. krav'!G9</f>
        <v>0</v>
      </c>
      <c r="F11" s="14" t="s">
        <v>3</v>
      </c>
      <c r="G11" s="1"/>
    </row>
    <row r="12" spans="1:7" x14ac:dyDescent="0.25">
      <c r="A12" s="1"/>
      <c r="B12" s="120" t="s">
        <v>24</v>
      </c>
      <c r="C12" s="121"/>
      <c r="D12" s="122"/>
      <c r="E12" s="9">
        <f>-E10*'Fane 15. Nøgletal'!C31</f>
        <v>0</v>
      </c>
      <c r="F12" s="14" t="s">
        <v>3</v>
      </c>
      <c r="G12" s="1"/>
    </row>
    <row r="13" spans="1:7" x14ac:dyDescent="0.25">
      <c r="A13" s="1"/>
      <c r="B13" s="126" t="s">
        <v>92</v>
      </c>
      <c r="C13" s="127"/>
      <c r="D13" s="128"/>
      <c r="E13" s="12">
        <f>SUM(E10:E12)*(1+'Fane 15. Nøgletal'!C15)^2</f>
        <v>0</v>
      </c>
      <c r="F13" s="13" t="s">
        <v>3</v>
      </c>
      <c r="G13" s="1"/>
    </row>
    <row r="14" spans="1:7" x14ac:dyDescent="0.25">
      <c r="A14" s="1"/>
      <c r="B14" s="1"/>
      <c r="C14" s="1"/>
      <c r="D14" s="1"/>
      <c r="E14" s="1"/>
      <c r="F14" s="1"/>
      <c r="G14" s="1"/>
    </row>
    <row r="15" spans="1:7" ht="15" customHeight="1" x14ac:dyDescent="0.25">
      <c r="A15" s="1"/>
      <c r="B15" s="126" t="s">
        <v>130</v>
      </c>
      <c r="C15" s="127"/>
      <c r="D15" s="127"/>
      <c r="E15" s="127"/>
      <c r="F15" s="128"/>
      <c r="G15" s="1"/>
    </row>
    <row r="16" spans="1:7" x14ac:dyDescent="0.25">
      <c r="A16" s="1"/>
      <c r="B16" s="157" t="s">
        <v>224</v>
      </c>
      <c r="C16" s="158"/>
      <c r="D16" s="159"/>
      <c r="E16" s="9">
        <v>0</v>
      </c>
      <c r="F16" s="14" t="s">
        <v>3</v>
      </c>
      <c r="G16" s="1"/>
    </row>
    <row r="17" spans="1:7" x14ac:dyDescent="0.25">
      <c r="A17" s="1"/>
      <c r="B17" s="120" t="s">
        <v>10</v>
      </c>
      <c r="C17" s="121"/>
      <c r="D17" s="122"/>
      <c r="E17" s="9">
        <f>-E16*'Fane 5. Individuelt eff. krav'!G9</f>
        <v>0</v>
      </c>
      <c r="F17" s="14" t="s">
        <v>3</v>
      </c>
      <c r="G17" s="1"/>
    </row>
    <row r="18" spans="1:7" x14ac:dyDescent="0.25">
      <c r="A18" s="1"/>
      <c r="B18" s="120" t="s">
        <v>24</v>
      </c>
      <c r="C18" s="121"/>
      <c r="D18" s="122"/>
      <c r="E18" s="9">
        <f>-E16*'Fane 15. Nøgletal'!C31</f>
        <v>0</v>
      </c>
      <c r="F18" s="14" t="s">
        <v>3</v>
      </c>
      <c r="G18" s="1"/>
    </row>
    <row r="19" spans="1:7" x14ac:dyDescent="0.25">
      <c r="A19" s="1"/>
      <c r="B19" s="126" t="s">
        <v>131</v>
      </c>
      <c r="C19" s="127"/>
      <c r="D19" s="128"/>
      <c r="E19" s="12">
        <f>SUM(E16:E18)*(1+'Fane 15. Nøgletal'!C15)^3</f>
        <v>0</v>
      </c>
      <c r="F19" s="13" t="s">
        <v>3</v>
      </c>
      <c r="G19" s="1"/>
    </row>
    <row r="20" spans="1:7" x14ac:dyDescent="0.25">
      <c r="A20" s="1"/>
      <c r="B20" s="1"/>
      <c r="C20" s="1"/>
      <c r="D20" s="1"/>
      <c r="E20" s="1"/>
      <c r="F20" s="1"/>
      <c r="G20" s="1"/>
    </row>
    <row r="21" spans="1:7" ht="15" customHeight="1" x14ac:dyDescent="0.25">
      <c r="A21" s="1"/>
      <c r="B21" s="126" t="s">
        <v>157</v>
      </c>
      <c r="C21" s="127"/>
      <c r="D21" s="127"/>
      <c r="E21" s="127"/>
      <c r="F21" s="128"/>
      <c r="G21" s="1"/>
    </row>
    <row r="22" spans="1:7" x14ac:dyDescent="0.25">
      <c r="A22" s="1"/>
      <c r="B22" s="157" t="s">
        <v>224</v>
      </c>
      <c r="C22" s="158"/>
      <c r="D22" s="159"/>
      <c r="E22" s="9">
        <v>0</v>
      </c>
      <c r="F22" s="14" t="s">
        <v>3</v>
      </c>
      <c r="G22" s="1"/>
    </row>
    <row r="23" spans="1:7" x14ac:dyDescent="0.25">
      <c r="A23" s="1"/>
      <c r="B23" s="120" t="s">
        <v>10</v>
      </c>
      <c r="C23" s="121"/>
      <c r="D23" s="122"/>
      <c r="E23" s="9">
        <f>-E22*'Fane 5. Individuelt eff. krav'!G9</f>
        <v>0</v>
      </c>
      <c r="F23" s="14" t="s">
        <v>3</v>
      </c>
      <c r="G23" s="1"/>
    </row>
    <row r="24" spans="1:7" x14ac:dyDescent="0.25">
      <c r="A24" s="1"/>
      <c r="B24" s="120" t="s">
        <v>24</v>
      </c>
      <c r="C24" s="121"/>
      <c r="D24" s="122"/>
      <c r="E24" s="9">
        <f>-E22*'Fane 15. Nøgletal'!C31</f>
        <v>0</v>
      </c>
      <c r="F24" s="14" t="s">
        <v>3</v>
      </c>
      <c r="G24" s="1"/>
    </row>
    <row r="25" spans="1:7" x14ac:dyDescent="0.25">
      <c r="A25" s="1"/>
      <c r="B25" s="126" t="s">
        <v>158</v>
      </c>
      <c r="C25" s="127"/>
      <c r="D25" s="128"/>
      <c r="E25" s="12">
        <f>SUM(E22:E24)*(1+'Fane 15. Nøgletal'!C15)^4</f>
        <v>0</v>
      </c>
      <c r="F25" s="13" t="s">
        <v>3</v>
      </c>
      <c r="G25" s="1"/>
    </row>
    <row r="26" spans="1:7" x14ac:dyDescent="0.25">
      <c r="A26" s="1"/>
      <c r="B26" s="1"/>
      <c r="C26" s="1"/>
      <c r="D26" s="1"/>
      <c r="E26" s="1"/>
      <c r="F26" s="1"/>
      <c r="G26" s="1"/>
    </row>
    <row r="27" spans="1:7" ht="15" customHeight="1" x14ac:dyDescent="0.25">
      <c r="A27" s="1"/>
      <c r="B27" s="126" t="s">
        <v>214</v>
      </c>
      <c r="C27" s="127"/>
      <c r="D27" s="127"/>
      <c r="E27" s="127"/>
      <c r="F27" s="128"/>
      <c r="G27" s="1"/>
    </row>
    <row r="28" spans="1:7" ht="14.25" customHeight="1" x14ac:dyDescent="0.25">
      <c r="A28" s="1"/>
      <c r="B28" s="157" t="s">
        <v>224</v>
      </c>
      <c r="C28" s="158"/>
      <c r="D28" s="159"/>
      <c r="E28" s="9">
        <v>0</v>
      </c>
      <c r="F28" s="14" t="s">
        <v>3</v>
      </c>
      <c r="G28" s="1"/>
    </row>
    <row r="29" spans="1:7" x14ac:dyDescent="0.25">
      <c r="A29" s="1"/>
      <c r="B29" s="120" t="s">
        <v>10</v>
      </c>
      <c r="C29" s="121"/>
      <c r="D29" s="122"/>
      <c r="E29" s="9">
        <f>-E28*'Fane 5. Individuelt eff. krav'!G9</f>
        <v>0</v>
      </c>
      <c r="F29" s="14" t="s">
        <v>3</v>
      </c>
      <c r="G29" s="1"/>
    </row>
    <row r="30" spans="1:7" x14ac:dyDescent="0.25">
      <c r="A30" s="1"/>
      <c r="B30" s="120" t="s">
        <v>24</v>
      </c>
      <c r="C30" s="121"/>
      <c r="D30" s="122"/>
      <c r="E30" s="9">
        <f>-E28*'Fane 15. Nøgletal'!C31</f>
        <v>0</v>
      </c>
      <c r="F30" s="14" t="s">
        <v>3</v>
      </c>
      <c r="G30" s="1"/>
    </row>
    <row r="31" spans="1:7" x14ac:dyDescent="0.25">
      <c r="A31" s="1"/>
      <c r="B31" s="126" t="s">
        <v>215</v>
      </c>
      <c r="C31" s="127"/>
      <c r="D31" s="128"/>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egQk3VLIOgMP9sBsD3R3dA2ZI0bmvD6D/3sSMI+6aHfBvl4wORSpFUcOC6Xu2s2By/NnFGC8O3wtuuSniQKZA==" saltValue="v0rexOm+fTvZ9ff6UvMne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5"/>
  <sheetViews>
    <sheetView showGridLines="0" view="pageLayout" zoomScaleNormal="100" workbookViewId="0">
      <selection activeCell="B10" sqref="B10"/>
    </sheetView>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259</v>
      </c>
      <c r="C3" s="134"/>
      <c r="D3" s="134"/>
      <c r="E3" s="134"/>
      <c r="F3" s="134"/>
      <c r="G3" s="1"/>
    </row>
    <row r="4" spans="1:7" ht="25.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132</v>
      </c>
      <c r="C8" s="127"/>
      <c r="D8" s="127"/>
      <c r="E8" s="127"/>
      <c r="F8" s="128"/>
      <c r="G8" s="1"/>
    </row>
    <row r="9" spans="1:7" ht="15" customHeight="1" x14ac:dyDescent="0.25">
      <c r="A9" s="1"/>
      <c r="B9" s="30" t="s">
        <v>133</v>
      </c>
      <c r="C9" s="30" t="s">
        <v>11</v>
      </c>
      <c r="D9" s="31"/>
      <c r="E9" s="30" t="s">
        <v>31</v>
      </c>
      <c r="F9" s="31"/>
      <c r="G9" s="1"/>
    </row>
    <row r="10" spans="1:7" ht="26.25" x14ac:dyDescent="0.25">
      <c r="A10" s="1"/>
      <c r="B10" s="96" t="s">
        <v>275</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CvvC1GsDP/MvgdYhB30ohAgj0AfhpFEIi1VYPDirzgIZIoQ6LrYZFu15PmiUazo2JTgNqNFtrImnzJFk/6+Hw==" saltValue="mZTHoGHzCS+c2cb55lsfK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260</v>
      </c>
      <c r="C3" s="134"/>
      <c r="D3" s="134"/>
      <c r="E3" s="134"/>
      <c r="F3" s="134"/>
      <c r="G3" s="1"/>
    </row>
    <row r="4" spans="1:7" ht="25.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6" t="s">
        <v>93</v>
      </c>
      <c r="C9" s="127"/>
      <c r="D9" s="127"/>
      <c r="E9" s="127"/>
      <c r="F9" s="128"/>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2"/>
      <c r="C15" s="162"/>
      <c r="D15" s="162"/>
      <c r="E15" s="162"/>
      <c r="F15" s="162"/>
      <c r="G15" s="1"/>
    </row>
    <row r="16" spans="1:7" x14ac:dyDescent="0.25">
      <c r="A16" s="1"/>
      <c r="B16" s="55"/>
      <c r="C16" s="55"/>
      <c r="D16" s="55"/>
      <c r="E16" s="55"/>
      <c r="F16" s="55"/>
      <c r="G16" s="1"/>
    </row>
    <row r="17" spans="1:7" x14ac:dyDescent="0.25">
      <c r="A17" s="1"/>
      <c r="B17" s="56"/>
      <c r="C17" s="59"/>
      <c r="D17" s="58"/>
      <c r="E17" s="59"/>
      <c r="F17" s="58"/>
      <c r="G17" s="1"/>
    </row>
    <row r="18" spans="1:7" x14ac:dyDescent="0.25">
      <c r="A18" s="1"/>
      <c r="B18" s="60"/>
      <c r="C18" s="61"/>
      <c r="D18" s="62"/>
      <c r="E18" s="61"/>
      <c r="F18" s="62"/>
      <c r="G18" s="1"/>
    </row>
    <row r="19" spans="1:7" x14ac:dyDescent="0.25">
      <c r="A19" s="1"/>
      <c r="B19" s="60"/>
      <c r="C19" s="61"/>
      <c r="D19" s="62"/>
      <c r="E19" s="61"/>
      <c r="F19" s="62"/>
      <c r="G19" s="1"/>
    </row>
    <row r="20" spans="1:7" x14ac:dyDescent="0.25">
      <c r="A20" s="1"/>
      <c r="B20" s="53"/>
      <c r="C20" s="53"/>
      <c r="D20" s="53"/>
      <c r="E20" s="53"/>
      <c r="F20" s="53"/>
      <c r="G20" s="1"/>
    </row>
    <row r="21" spans="1:7" x14ac:dyDescent="0.25">
      <c r="A21" s="1"/>
      <c r="B21" s="162"/>
      <c r="C21" s="162"/>
      <c r="D21" s="162"/>
      <c r="E21" s="162"/>
      <c r="F21" s="162"/>
      <c r="G21" s="1"/>
    </row>
    <row r="22" spans="1:7" x14ac:dyDescent="0.25">
      <c r="A22" s="1"/>
      <c r="B22" s="55"/>
      <c r="C22" s="55"/>
      <c r="D22" s="55"/>
      <c r="E22" s="55"/>
      <c r="F22" s="55"/>
      <c r="G22" s="1"/>
    </row>
    <row r="23" spans="1:7" x14ac:dyDescent="0.25">
      <c r="A23" s="1"/>
      <c r="B23" s="56"/>
      <c r="C23" s="59"/>
      <c r="D23" s="58"/>
      <c r="E23" s="59"/>
      <c r="F23" s="58"/>
      <c r="G23" s="1"/>
    </row>
    <row r="24" spans="1:7" x14ac:dyDescent="0.25">
      <c r="A24" s="1"/>
      <c r="B24" s="60"/>
      <c r="C24" s="61"/>
      <c r="D24" s="62"/>
      <c r="E24" s="61"/>
      <c r="F24" s="62"/>
      <c r="G24" s="1"/>
    </row>
    <row r="25" spans="1:7" x14ac:dyDescent="0.25">
      <c r="A25" s="1"/>
      <c r="B25" s="60"/>
      <c r="C25" s="61"/>
      <c r="D25" s="62"/>
      <c r="E25" s="61"/>
      <c r="F25" s="62"/>
      <c r="G25" s="1"/>
    </row>
    <row r="26" spans="1:7" x14ac:dyDescent="0.25">
      <c r="A26" s="1"/>
      <c r="B26" s="53"/>
      <c r="C26" s="53"/>
      <c r="D26" s="53"/>
      <c r="E26" s="53"/>
      <c r="F26" s="53"/>
      <c r="G26" s="1"/>
    </row>
    <row r="27" spans="1:7" x14ac:dyDescent="0.25">
      <c r="A27" s="1"/>
      <c r="B27" s="162"/>
      <c r="C27" s="162"/>
      <c r="D27" s="162"/>
      <c r="E27" s="162"/>
      <c r="F27" s="162"/>
      <c r="G27" s="1"/>
    </row>
    <row r="28" spans="1:7" x14ac:dyDescent="0.25">
      <c r="A28" s="1"/>
      <c r="B28" s="55"/>
      <c r="C28" s="55"/>
      <c r="D28" s="55"/>
      <c r="E28" s="55"/>
      <c r="F28" s="55"/>
      <c r="G28" s="1"/>
    </row>
    <row r="29" spans="1:7" x14ac:dyDescent="0.25">
      <c r="A29" s="1"/>
      <c r="B29" s="56"/>
      <c r="C29" s="59"/>
      <c r="D29" s="58"/>
      <c r="E29" s="59"/>
      <c r="F29" s="58"/>
      <c r="G29" s="1"/>
    </row>
    <row r="30" spans="1:7" x14ac:dyDescent="0.25">
      <c r="A30" s="1"/>
      <c r="B30" s="60"/>
      <c r="C30" s="61"/>
      <c r="D30" s="62"/>
      <c r="E30" s="61"/>
      <c r="F30" s="62"/>
      <c r="G30" s="1"/>
    </row>
    <row r="31" spans="1:7" x14ac:dyDescent="0.25">
      <c r="A31" s="1"/>
      <c r="B31" s="60"/>
      <c r="C31" s="61"/>
      <c r="D31" s="62"/>
      <c r="E31" s="61"/>
      <c r="F31" s="62"/>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Cyv9Sou6Tl5NSkS8aKGGZF3PPgA93oX2UQEwxlt1Qf4UYCUtvJGEtIcQ9uInNaShSEPQ1JP8neVu1LonakzaQ==" saltValue="Pfc7h5SD/dlTgK/cgNBAn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85" zoomScaleNormal="100" zoomScalePageLayoutView="85" workbookViewId="0">
      <selection activeCell="B41" sqref="B41"/>
    </sheetView>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181</v>
      </c>
      <c r="C3" s="118"/>
      <c r="D3" s="118"/>
      <c r="E3" s="1"/>
    </row>
    <row r="4" spans="1:5" ht="15" customHeight="1" x14ac:dyDescent="0.25">
      <c r="A4" s="1"/>
      <c r="B4" s="118"/>
      <c r="C4" s="118"/>
      <c r="D4" s="118"/>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317879036.58517754</v>
      </c>
      <c r="D9" s="8" t="s">
        <v>3</v>
      </c>
      <c r="E9" s="1"/>
    </row>
    <row r="10" spans="1:5" ht="17.25" customHeight="1" x14ac:dyDescent="0.25">
      <c r="A10" s="1"/>
      <c r="B10" s="77" t="s">
        <v>39</v>
      </c>
      <c r="C10" s="7">
        <f>'Fane 11.1. Varige tillæg'!C12</f>
        <v>0</v>
      </c>
      <c r="D10" s="8" t="s">
        <v>3</v>
      </c>
      <c r="E10" s="1"/>
    </row>
    <row r="11" spans="1:5" ht="17.25" customHeight="1" x14ac:dyDescent="0.25">
      <c r="A11" s="1"/>
      <c r="B11" s="77" t="s">
        <v>40</v>
      </c>
      <c r="C11" s="9">
        <f>'Fane 11.1. Varige tillæg'!E12</f>
        <v>457327.98482000001</v>
      </c>
      <c r="D11" s="8" t="s">
        <v>3</v>
      </c>
      <c r="E11" s="1"/>
    </row>
    <row r="12" spans="1:5" ht="17.25" customHeight="1" x14ac:dyDescent="0.25">
      <c r="A12" s="1"/>
      <c r="B12" s="77" t="s">
        <v>27</v>
      </c>
      <c r="C12" s="9">
        <f>-'Fane 14. Bortfald'!C13</f>
        <v>0</v>
      </c>
      <c r="D12" s="8" t="s">
        <v>3</v>
      </c>
      <c r="E12" s="1"/>
    </row>
    <row r="13" spans="1:5" ht="17.25" customHeight="1" x14ac:dyDescent="0.25">
      <c r="A13" s="1"/>
      <c r="B13" s="77" t="s">
        <v>26</v>
      </c>
      <c r="C13" s="9">
        <f>-'Fane 14. Bortfald'!E13</f>
        <v>0</v>
      </c>
      <c r="D13" s="8" t="s">
        <v>3</v>
      </c>
      <c r="E13" s="1"/>
    </row>
    <row r="14" spans="1:5" ht="17.25" customHeight="1" x14ac:dyDescent="0.25">
      <c r="A14" s="1"/>
      <c r="B14" s="77" t="s">
        <v>124</v>
      </c>
      <c r="C14" s="9">
        <f>'Fane 13. Tilknyttet virksomhed'!C12</f>
        <v>0</v>
      </c>
      <c r="D14" s="8" t="s">
        <v>3</v>
      </c>
      <c r="E14" s="1"/>
    </row>
    <row r="15" spans="1:5" ht="17.25" customHeight="1" x14ac:dyDescent="0.25">
      <c r="A15" s="1"/>
      <c r="B15" s="77" t="s">
        <v>125</v>
      </c>
      <c r="C15" s="9">
        <f>'Fane 13. Tilknyttet virksomhed'!E12</f>
        <v>0</v>
      </c>
      <c r="D15" s="8" t="s">
        <v>3</v>
      </c>
      <c r="E15" s="1"/>
    </row>
    <row r="16" spans="1:5" ht="17.25" customHeight="1" x14ac:dyDescent="0.25">
      <c r="A16" s="1"/>
      <c r="B16" s="77" t="s">
        <v>19</v>
      </c>
      <c r="C16" s="44">
        <f>SUM(C9)*'Fane 15. Nøgletal'!C14+SUM(C10:C15)*'Fane 15. Nøgletal'!C15</f>
        <v>1065281.6969906779</v>
      </c>
      <c r="D16" s="8" t="s">
        <v>3</v>
      </c>
      <c r="E16" s="1"/>
    </row>
    <row r="17" spans="1:5" ht="17.25" customHeight="1" x14ac:dyDescent="0.25">
      <c r="A17" s="1"/>
      <c r="B17" s="77" t="s">
        <v>10</v>
      </c>
      <c r="C17" s="44">
        <f>-SUM(C9,C10:C16)*'Fane 5. Individuelt eff. krav'!G9</f>
        <v>-6388032.9253397649</v>
      </c>
      <c r="D17" s="8" t="s">
        <v>3</v>
      </c>
      <c r="E17" s="1"/>
    </row>
    <row r="18" spans="1:5" ht="17.25" customHeight="1" x14ac:dyDescent="0.25">
      <c r="A18" s="1"/>
      <c r="B18" s="77" t="s">
        <v>24</v>
      </c>
      <c r="C18" s="44">
        <f>-'Fane 4.1. Gen. krav - drift'!G45</f>
        <v>-3210951.5140932561</v>
      </c>
      <c r="D18" s="8" t="s">
        <v>3</v>
      </c>
      <c r="E18" s="1"/>
    </row>
    <row r="19" spans="1:5" ht="17.25" customHeight="1" x14ac:dyDescent="0.25">
      <c r="A19" s="1"/>
      <c r="B19" s="77" t="s">
        <v>25</v>
      </c>
      <c r="C19" s="44">
        <f>-'Fane 4.2. Gen. krav - anlæg'!G43</f>
        <v>-2549961.2771999752</v>
      </c>
      <c r="D19" s="8" t="s">
        <v>3</v>
      </c>
      <c r="E19" s="48"/>
    </row>
    <row r="20" spans="1:5" ht="17.25" customHeight="1" x14ac:dyDescent="0.25">
      <c r="A20" s="1"/>
      <c r="B20" s="83" t="s">
        <v>21</v>
      </c>
      <c r="C20" s="10">
        <f>SUM(C9:C19)</f>
        <v>307252700.5503552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50679853.417297974</v>
      </c>
      <c r="D22" s="11" t="s">
        <v>3</v>
      </c>
      <c r="E22" s="1"/>
    </row>
    <row r="23" spans="1:5" ht="15" customHeight="1" x14ac:dyDescent="0.25">
      <c r="A23" s="1"/>
      <c r="B23" s="32" t="s">
        <v>86</v>
      </c>
      <c r="C23" s="27"/>
      <c r="D23" s="19"/>
      <c r="E23" s="1"/>
    </row>
    <row r="24" spans="1:5" ht="15" customHeight="1" x14ac:dyDescent="0.25">
      <c r="A24" s="1"/>
      <c r="B24" s="83"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77" t="s">
        <v>231</v>
      </c>
      <c r="C26" s="69">
        <f>'Fane 11.2. Engangstillæg'!C12</f>
        <v>0</v>
      </c>
      <c r="D26" s="8" t="s">
        <v>3</v>
      </c>
      <c r="E26" s="1"/>
    </row>
    <row r="27" spans="1:5" ht="15" customHeight="1" x14ac:dyDescent="0.25">
      <c r="A27" s="1"/>
      <c r="B27" s="77" t="s">
        <v>82</v>
      </c>
      <c r="C27" s="69">
        <f>'Fane 11.2. Engangstillæg'!E12</f>
        <v>0</v>
      </c>
      <c r="D27" s="8" t="s">
        <v>3</v>
      </c>
      <c r="E27" s="1"/>
    </row>
    <row r="28" spans="1:5" ht="15" customHeight="1" x14ac:dyDescent="0.25">
      <c r="A28" s="1"/>
      <c r="B28" s="77" t="s">
        <v>238</v>
      </c>
      <c r="C28" s="69">
        <f>-C26*('Fane 15. Nøgletal'!C31+'Fane 5. Individuelt eff. krav'!G9)</f>
        <v>0</v>
      </c>
      <c r="D28" s="8" t="s">
        <v>3</v>
      </c>
      <c r="E28" s="1"/>
    </row>
    <row r="29" spans="1:5" ht="15" customHeight="1" x14ac:dyDescent="0.25">
      <c r="A29" s="1"/>
      <c r="B29" s="77" t="s">
        <v>239</v>
      </c>
      <c r="C29" s="69">
        <f>-C27*('Fane 15. Nøgletal'!C26+'Fane 5. Individuelt eff. krav'!G9)</f>
        <v>0</v>
      </c>
      <c r="D29" s="8" t="s">
        <v>3</v>
      </c>
      <c r="E29" s="1"/>
    </row>
    <row r="30" spans="1:5" ht="15" customHeight="1" x14ac:dyDescent="0.25">
      <c r="A30" s="1"/>
      <c r="B30" s="89"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-9820078.6931052804</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89" t="s">
        <v>176</v>
      </c>
      <c r="C36" s="10">
        <f>'Fane 8. Skattesagen'!G12</f>
        <v>0</v>
      </c>
      <c r="D36" s="11" t="s">
        <v>3</v>
      </c>
      <c r="E36" s="1"/>
    </row>
    <row r="37" spans="1:5" x14ac:dyDescent="0.25">
      <c r="A37" s="1"/>
      <c r="B37" s="29" t="s">
        <v>292</v>
      </c>
      <c r="C37" s="27"/>
      <c r="D37" s="19"/>
      <c r="E37" s="1"/>
    </row>
    <row r="38" spans="1:5" x14ac:dyDescent="0.25">
      <c r="A38" s="1"/>
      <c r="B38" s="92" t="s">
        <v>293</v>
      </c>
      <c r="C38" s="10">
        <v>12530251.417335475</v>
      </c>
      <c r="D38" s="11" t="s">
        <v>3</v>
      </c>
      <c r="E38" s="1"/>
    </row>
    <row r="39" spans="1:5" x14ac:dyDescent="0.25">
      <c r="A39" s="1"/>
      <c r="B39" s="32" t="s">
        <v>90</v>
      </c>
      <c r="C39" s="51">
        <f>SUM(C34,C32,C24,C30,C22,C20,C36,C38)</f>
        <v>360642726.69188333</v>
      </c>
      <c r="D39" s="29"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bMGgYR537LHZEm+RbHu7CWUizlyt6xjbCF3M7WWfhne4BV8rdeUCrQvLkBUj7QkGwH0kLYpIZ42orKndH9i8CQ==" saltValue="9AiHV4SoLV4Xhscc4K40M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4" t="s">
        <v>261</v>
      </c>
      <c r="C3" s="134"/>
      <c r="D3" s="1"/>
    </row>
    <row r="4" spans="1:4" ht="25.5" customHeight="1" x14ac:dyDescent="0.25">
      <c r="A4" s="1"/>
      <c r="B4" s="134"/>
      <c r="C4" s="13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88" t="s">
        <v>112</v>
      </c>
      <c r="C9" s="24">
        <v>1.2699999999999999E-2</v>
      </c>
      <c r="D9" s="1"/>
    </row>
    <row r="10" spans="1:4" x14ac:dyDescent="0.25">
      <c r="A10" s="1"/>
      <c r="B10" s="88" t="s">
        <v>113</v>
      </c>
      <c r="C10" s="24">
        <v>1.7500000000000002E-2</v>
      </c>
      <c r="D10" s="1"/>
    </row>
    <row r="11" spans="1:4" x14ac:dyDescent="0.25">
      <c r="A11" s="1"/>
      <c r="B11" s="88"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88" t="s">
        <v>171</v>
      </c>
      <c r="C14" s="42">
        <v>3.3E-3</v>
      </c>
      <c r="D14" s="1"/>
    </row>
    <row r="15" spans="1:4" x14ac:dyDescent="0.25">
      <c r="A15" s="1"/>
      <c r="B15" s="33" t="s">
        <v>223</v>
      </c>
      <c r="C15" s="64">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88" t="s">
        <v>114</v>
      </c>
      <c r="C20" s="22">
        <v>9.1000000000000004E-3</v>
      </c>
      <c r="D20" s="1"/>
    </row>
    <row r="21" spans="1:4" x14ac:dyDescent="0.25">
      <c r="A21" s="1"/>
      <c r="B21" s="88" t="s">
        <v>145</v>
      </c>
      <c r="C21" s="22">
        <v>1.77E-2</v>
      </c>
      <c r="D21" s="1"/>
    </row>
    <row r="22" spans="1:4" x14ac:dyDescent="0.25">
      <c r="A22" s="1"/>
      <c r="B22" s="88" t="s">
        <v>146</v>
      </c>
      <c r="C22" s="22">
        <v>8.6999999999999994E-3</v>
      </c>
      <c r="D22" s="1"/>
    </row>
    <row r="23" spans="1:4" x14ac:dyDescent="0.25">
      <c r="A23" s="1"/>
      <c r="B23" s="88" t="s">
        <v>115</v>
      </c>
      <c r="C23" s="35">
        <v>2.8400000000000002E-2</v>
      </c>
      <c r="D23" s="1"/>
    </row>
    <row r="24" spans="1:4" x14ac:dyDescent="0.25">
      <c r="A24" s="1"/>
      <c r="B24" s="88" t="s">
        <v>147</v>
      </c>
      <c r="C24" s="35">
        <v>2.75E-2</v>
      </c>
      <c r="D24" s="1"/>
    </row>
    <row r="25" spans="1:4" x14ac:dyDescent="0.25">
      <c r="A25" s="1"/>
      <c r="B25" s="88" t="s">
        <v>148</v>
      </c>
      <c r="C25" s="35">
        <v>1.4800000000000001E-2</v>
      </c>
      <c r="D25" s="1"/>
    </row>
    <row r="26" spans="1:4" x14ac:dyDescent="0.25">
      <c r="A26" s="1"/>
      <c r="B26" s="33" t="s">
        <v>216</v>
      </c>
      <c r="C26" s="65">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88"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ZQqs1M57wQHTWHBjLPrHSmNyycz215WArVp1o12sVbxzANktuWamc1WzALMNTcrk9/HLqqPME/Vj7EeI2ie1qA==" saltValue="GH5WUuiQoXviaqSCA7mLK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186</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307252700.5503552</v>
      </c>
      <c r="D9" s="8" t="s">
        <v>3</v>
      </c>
      <c r="E9" s="1"/>
    </row>
    <row r="10" spans="1:5" ht="15" customHeight="1" x14ac:dyDescent="0.25">
      <c r="A10" s="1"/>
      <c r="B10" s="25" t="s">
        <v>19</v>
      </c>
      <c r="C10" s="7">
        <f>SUM(C9:C9)*'Fane 15. Nøgletal'!C15</f>
        <v>10938196.139592646</v>
      </c>
      <c r="D10" s="8" t="s">
        <v>3</v>
      </c>
      <c r="E10" s="1"/>
    </row>
    <row r="11" spans="1:5" ht="15" customHeight="1" x14ac:dyDescent="0.25">
      <c r="A11" s="1"/>
      <c r="B11" s="25" t="s">
        <v>10</v>
      </c>
      <c r="C11" s="9">
        <f>-SUM(C9:C10)*'Fane 5. Individuelt eff. krav'!G9</f>
        <v>-6363817.9337989567</v>
      </c>
      <c r="D11" s="8" t="s">
        <v>3</v>
      </c>
      <c r="E11" s="1"/>
    </row>
    <row r="12" spans="1:5" ht="15" customHeight="1" x14ac:dyDescent="0.25">
      <c r="A12" s="1"/>
      <c r="B12" s="25" t="s">
        <v>24</v>
      </c>
      <c r="C12" s="9">
        <f>-'Fane 4.1. Gen. krav - drift'!G53</f>
        <v>-3258756.1602350767</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308568322.59591383</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omk.'!C26+'Fane 6. Ikke-påvirkelige omk.'!C34</f>
        <v>52484056.198953785</v>
      </c>
      <c r="D16" s="11" t="s">
        <v>3</v>
      </c>
      <c r="E16" s="1"/>
    </row>
    <row r="17" spans="1:5" ht="15" customHeight="1" x14ac:dyDescent="0.25">
      <c r="A17" s="1"/>
      <c r="B17" s="32" t="s">
        <v>86</v>
      </c>
      <c r="C17" s="27"/>
      <c r="D17" s="19"/>
      <c r="E17" s="1"/>
    </row>
    <row r="18" spans="1:5" ht="15" customHeight="1" x14ac:dyDescent="0.25">
      <c r="A18" s="1"/>
      <c r="B18" s="83"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-3766008.0916875899</v>
      </c>
      <c r="D20" s="11" t="s">
        <v>3</v>
      </c>
      <c r="E20" s="1"/>
    </row>
    <row r="21" spans="1:5" x14ac:dyDescent="0.25">
      <c r="A21" s="1"/>
      <c r="B21" s="29" t="s">
        <v>175</v>
      </c>
      <c r="C21" s="27"/>
      <c r="D21" s="19"/>
      <c r="E21" s="1"/>
    </row>
    <row r="22" spans="1:5" x14ac:dyDescent="0.25">
      <c r="A22" s="1"/>
      <c r="B22" s="89" t="s">
        <v>176</v>
      </c>
      <c r="C22" s="10">
        <f>'Fane 8. Skattesagen'!G13</f>
        <v>0</v>
      </c>
      <c r="D22" s="11" t="s">
        <v>3</v>
      </c>
      <c r="E22" s="1"/>
    </row>
    <row r="23" spans="1:5" x14ac:dyDescent="0.25">
      <c r="A23" s="1"/>
      <c r="B23" s="32" t="s">
        <v>128</v>
      </c>
      <c r="C23" s="12">
        <f>SUM(C14,C16,C18,C20,C22)</f>
        <v>357286370.70318007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3MHywDbdmU3zgLOSG6/+T+JOtzvVWtrNmTntOWN1nv0Vzpd0ui4LPbX+HcGnSawB5RNtPnX0H4j53YQEk/x5MA==" saltValue="+TnoKs7E29+cgD53hnMP8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187</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75"/>
      <c r="C6" s="75"/>
      <c r="D6" s="75"/>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308568322.59591383</v>
      </c>
      <c r="D9" s="8" t="s">
        <v>3</v>
      </c>
      <c r="E9" s="1"/>
    </row>
    <row r="10" spans="1:5" ht="15" customHeight="1" x14ac:dyDescent="0.25">
      <c r="A10" s="1"/>
      <c r="B10" s="25" t="s">
        <v>19</v>
      </c>
      <c r="C10" s="7">
        <f>SUM(C9:C9)*'Fane 15. Nøgletal'!C15</f>
        <v>10985032.284414532</v>
      </c>
      <c r="D10" s="8" t="s">
        <v>3</v>
      </c>
      <c r="E10" s="1"/>
    </row>
    <row r="11" spans="1:5" ht="15" customHeight="1" x14ac:dyDescent="0.25">
      <c r="A11" s="1"/>
      <c r="B11" s="25" t="s">
        <v>10</v>
      </c>
      <c r="C11" s="9">
        <f>-SUM(C9:C10)*'Fane 5. Individuelt eff. krav'!G9</f>
        <v>-6391067.0976065677</v>
      </c>
      <c r="D11" s="8" t="s">
        <v>3</v>
      </c>
      <c r="E11" s="1"/>
    </row>
    <row r="12" spans="1:5" ht="15" customHeight="1" x14ac:dyDescent="0.25">
      <c r="A12" s="1"/>
      <c r="B12" s="25" t="s">
        <v>24</v>
      </c>
      <c r="C12" s="9">
        <f>-'Fane 4.1. Gen. krav - drift'!G58</f>
        <v>-3307272.5219486565</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309855015.26077318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54352488.59963654</v>
      </c>
      <c r="D16" s="11" t="s">
        <v>3</v>
      </c>
      <c r="E16" s="1"/>
    </row>
    <row r="17" spans="1:5" ht="15" customHeight="1" x14ac:dyDescent="0.25">
      <c r="A17" s="1"/>
      <c r="B17" s="32" t="s">
        <v>86</v>
      </c>
      <c r="C17" s="27"/>
      <c r="D17" s="19"/>
      <c r="E17" s="1"/>
    </row>
    <row r="18" spans="1:5" ht="15" customHeight="1" x14ac:dyDescent="0.25">
      <c r="A18" s="1"/>
      <c r="B18" s="83"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-3766008.0916875899</v>
      </c>
      <c r="D20" s="11" t="s">
        <v>3</v>
      </c>
      <c r="E20" s="1"/>
    </row>
    <row r="21" spans="1:5" x14ac:dyDescent="0.25">
      <c r="A21" s="1"/>
      <c r="B21" s="29" t="s">
        <v>175</v>
      </c>
      <c r="C21" s="27"/>
      <c r="D21" s="19"/>
      <c r="E21" s="1"/>
    </row>
    <row r="22" spans="1:5" x14ac:dyDescent="0.25">
      <c r="A22" s="1"/>
      <c r="B22" s="89" t="s">
        <v>176</v>
      </c>
      <c r="C22" s="10">
        <f>'Fane 8. Skattesagen'!G14</f>
        <v>0</v>
      </c>
      <c r="D22" s="11" t="s">
        <v>3</v>
      </c>
      <c r="E22" s="1"/>
    </row>
    <row r="23" spans="1:5" x14ac:dyDescent="0.25">
      <c r="A23" s="1"/>
      <c r="B23" s="32" t="s">
        <v>149</v>
      </c>
      <c r="C23" s="12">
        <f>SUM(C14,C16,C18,C20,C22)</f>
        <v>360441495.76872218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Maps6mKi+vboqa0JdXjBG2VG3yjZZbUoSDPQPruUKE+pWx/Zt1M6X/pWjc2uA14ud5c0174KX6NfT4Q5NWim8Q==" saltValue="kJwxdMP1RuiSX4C3y8eZ6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8" t="s">
        <v>188</v>
      </c>
      <c r="C3" s="118"/>
      <c r="D3" s="118"/>
      <c r="E3" s="1"/>
    </row>
    <row r="4" spans="1:5" ht="15" customHeight="1" x14ac:dyDescent="0.25">
      <c r="A4" s="1"/>
      <c r="B4" s="118"/>
      <c r="C4" s="118"/>
      <c r="D4" s="118"/>
      <c r="E4" s="1"/>
    </row>
    <row r="5" spans="1:5" x14ac:dyDescent="0.25">
      <c r="A5" s="1"/>
      <c r="B5" s="119" t="s">
        <v>22</v>
      </c>
      <c r="C5" s="119"/>
      <c r="D5" s="119"/>
      <c r="E5" s="1"/>
    </row>
    <row r="6" spans="1:5" x14ac:dyDescent="0.25">
      <c r="A6" s="1"/>
      <c r="B6" s="75"/>
      <c r="C6" s="75"/>
      <c r="D6" s="75"/>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309855015.26077318</v>
      </c>
      <c r="D9" s="8" t="s">
        <v>3</v>
      </c>
      <c r="E9" s="1"/>
    </row>
    <row r="10" spans="1:5" ht="15" customHeight="1" x14ac:dyDescent="0.25">
      <c r="A10" s="1"/>
      <c r="B10" s="25" t="s">
        <v>19</v>
      </c>
      <c r="C10" s="7">
        <f>SUM(C9:C9)*'Fane 15. Nøgletal'!C15</f>
        <v>11030838.543283526</v>
      </c>
      <c r="D10" s="8" t="s">
        <v>3</v>
      </c>
      <c r="E10" s="1"/>
    </row>
    <row r="11" spans="1:5" ht="15" customHeight="1" x14ac:dyDescent="0.25">
      <c r="A11" s="1"/>
      <c r="B11" s="25" t="s">
        <v>10</v>
      </c>
      <c r="C11" s="9">
        <f>-SUM(C9:C10)*'Fane 5. Individuelt eff. krav'!G9</f>
        <v>-6417717.0760811344</v>
      </c>
      <c r="D11" s="8" t="s">
        <v>3</v>
      </c>
      <c r="E11" s="1"/>
    </row>
    <row r="12" spans="1:5" ht="15" customHeight="1" x14ac:dyDescent="0.25">
      <c r="A12" s="1"/>
      <c r="B12" s="25" t="s">
        <v>24</v>
      </c>
      <c r="C12" s="9">
        <f>-'Fane 4.1. Gen. krav - drift'!G63</f>
        <v>-3356511.1952554281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311111625.53272015</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56287437.193783611</v>
      </c>
      <c r="D16" s="11" t="s">
        <v>3</v>
      </c>
      <c r="E16" s="1"/>
    </row>
    <row r="17" spans="1:5" ht="15" customHeight="1" x14ac:dyDescent="0.25">
      <c r="A17" s="1"/>
      <c r="B17" s="32" t="s">
        <v>86</v>
      </c>
      <c r="C17" s="27"/>
      <c r="D17" s="19"/>
      <c r="E17" s="1"/>
    </row>
    <row r="18" spans="1:5" ht="15" customHeight="1" x14ac:dyDescent="0.25">
      <c r="A18" s="1"/>
      <c r="B18" s="83"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-3766008.0916875899</v>
      </c>
      <c r="D20" s="11" t="s">
        <v>3</v>
      </c>
      <c r="E20" s="1"/>
    </row>
    <row r="21" spans="1:5" x14ac:dyDescent="0.25">
      <c r="A21" s="1"/>
      <c r="B21" s="29" t="s">
        <v>175</v>
      </c>
      <c r="C21" s="27"/>
      <c r="D21" s="19"/>
      <c r="E21" s="1"/>
    </row>
    <row r="22" spans="1:5" x14ac:dyDescent="0.25">
      <c r="A22" s="1"/>
      <c r="B22" s="89" t="s">
        <v>176</v>
      </c>
      <c r="C22" s="10">
        <f>'Fane 8. Skattesagen'!G15</f>
        <v>0</v>
      </c>
      <c r="D22" s="11" t="s">
        <v>3</v>
      </c>
      <c r="E22" s="1"/>
    </row>
    <row r="23" spans="1:5" x14ac:dyDescent="0.25">
      <c r="A23" s="1"/>
      <c r="B23" s="32" t="s">
        <v>190</v>
      </c>
      <c r="C23" s="12">
        <f>SUM(C14,C16,C18,C20,C22)</f>
        <v>363633054.63481617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nQ3UA2MhPt1x31tegLbvGTM9wq+JlgkAgDNtjvcn3DaCuZmyLON243TTk5QhEKZCqpiELniz2yqt4SJLRoJ77A==" saltValue="OOqmLn+jis+Sm0PnP42Ew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0"/>
  <sheetViews>
    <sheetView showGridLines="0" view="pageLayout" topLeftCell="A4" zoomScale="99" zoomScaleNormal="100" zoomScalePageLayoutView="99" workbookViewId="0">
      <selection activeCell="B36" sqref="B36:F36"/>
    </sheetView>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4" t="s">
        <v>191</v>
      </c>
      <c r="C3" s="134"/>
      <c r="D3" s="134"/>
      <c r="E3" s="134"/>
      <c r="F3" s="134"/>
      <c r="G3" s="1"/>
    </row>
    <row r="4" spans="1:7" ht="29.25" customHeight="1" x14ac:dyDescent="0.25">
      <c r="A4" s="1"/>
      <c r="B4" s="134"/>
      <c r="C4" s="134"/>
      <c r="D4" s="134"/>
      <c r="E4" s="134"/>
      <c r="F4" s="13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29" t="s">
        <v>192</v>
      </c>
      <c r="C9" s="130"/>
      <c r="D9" s="131"/>
      <c r="E9" s="7">
        <v>327299312.11574554</v>
      </c>
      <c r="F9" s="8" t="s">
        <v>3</v>
      </c>
      <c r="G9" s="1"/>
    </row>
    <row r="10" spans="1:7" ht="15" customHeight="1" x14ac:dyDescent="0.25">
      <c r="A10" s="1"/>
      <c r="B10" s="120" t="s">
        <v>39</v>
      </c>
      <c r="C10" s="121"/>
      <c r="D10" s="122"/>
      <c r="E10" s="7">
        <v>1246718.6394</v>
      </c>
      <c r="F10" s="8" t="s">
        <v>3</v>
      </c>
      <c r="G10" s="1"/>
    </row>
    <row r="11" spans="1:7" ht="15" customHeight="1" x14ac:dyDescent="0.25">
      <c r="A11" s="1"/>
      <c r="B11" s="120" t="s">
        <v>40</v>
      </c>
      <c r="C11" s="121"/>
      <c r="D11" s="122"/>
      <c r="E11" s="9">
        <v>698579.73060000001</v>
      </c>
      <c r="F11" s="8" t="s">
        <v>3</v>
      </c>
      <c r="G11" s="1"/>
    </row>
    <row r="12" spans="1:7" ht="15" customHeight="1" x14ac:dyDescent="0.25">
      <c r="A12" s="1"/>
      <c r="B12" s="120" t="s">
        <v>27</v>
      </c>
      <c r="C12" s="121"/>
      <c r="D12" s="122"/>
      <c r="E12" s="9">
        <v>0</v>
      </c>
      <c r="F12" s="8" t="s">
        <v>3</v>
      </c>
      <c r="G12" s="1"/>
    </row>
    <row r="13" spans="1:7" ht="15" customHeight="1" x14ac:dyDescent="0.25">
      <c r="A13" s="1"/>
      <c r="B13" s="129" t="s">
        <v>26</v>
      </c>
      <c r="C13" s="130"/>
      <c r="D13" s="131"/>
      <c r="E13" s="9">
        <v>0</v>
      </c>
      <c r="F13" s="8" t="s">
        <v>3</v>
      </c>
      <c r="G13" s="1"/>
    </row>
    <row r="14" spans="1:7" ht="15" customHeight="1" x14ac:dyDescent="0.25">
      <c r="A14" s="1"/>
      <c r="B14" s="129" t="s">
        <v>29</v>
      </c>
      <c r="C14" s="130"/>
      <c r="D14" s="131"/>
      <c r="E14" s="9">
        <v>0</v>
      </c>
      <c r="F14" s="8" t="s">
        <v>3</v>
      </c>
      <c r="G14" s="1"/>
    </row>
    <row r="15" spans="1:7" ht="15" customHeight="1" x14ac:dyDescent="0.25">
      <c r="A15" s="1"/>
      <c r="B15" s="129" t="s">
        <v>28</v>
      </c>
      <c r="C15" s="130"/>
      <c r="D15" s="131"/>
      <c r="E15" s="9">
        <v>0</v>
      </c>
      <c r="F15" s="8" t="s">
        <v>3</v>
      </c>
      <c r="G15" s="1"/>
    </row>
    <row r="16" spans="1:7" ht="15" customHeight="1" x14ac:dyDescent="0.25">
      <c r="A16" s="1"/>
      <c r="B16" s="129" t="s">
        <v>19</v>
      </c>
      <c r="C16" s="130"/>
      <c r="D16" s="131"/>
      <c r="E16" s="9">
        <f>SUM(E9:E15)*'Fane 15. Nøgletal'!C14</f>
        <v>1086507.2146029603</v>
      </c>
      <c r="F16" s="8" t="s">
        <v>3</v>
      </c>
      <c r="G16" s="1"/>
    </row>
    <row r="17" spans="1:7" ht="15" customHeight="1" x14ac:dyDescent="0.25">
      <c r="A17" s="1"/>
      <c r="B17" s="129" t="s">
        <v>10</v>
      </c>
      <c r="C17" s="130"/>
      <c r="D17" s="131"/>
      <c r="E17" s="9">
        <v>-6606622.3540069703</v>
      </c>
      <c r="F17" s="8" t="s">
        <v>3</v>
      </c>
      <c r="G17" s="1"/>
    </row>
    <row r="18" spans="1:7" ht="15" customHeight="1" x14ac:dyDescent="0.25">
      <c r="A18" s="1"/>
      <c r="B18" s="129" t="s">
        <v>24</v>
      </c>
      <c r="C18" s="130"/>
      <c r="D18" s="131"/>
      <c r="E18" s="9">
        <f>-'Fane 4.1. Gen. krav - drift'!G39</f>
        <v>-3265704.3125982787</v>
      </c>
      <c r="F18" s="8" t="s">
        <v>3</v>
      </c>
      <c r="G18" s="1"/>
    </row>
    <row r="19" spans="1:7" ht="15" customHeight="1" x14ac:dyDescent="0.25">
      <c r="A19" s="1"/>
      <c r="B19" s="129" t="s">
        <v>25</v>
      </c>
      <c r="C19" s="130"/>
      <c r="D19" s="131"/>
      <c r="E19" s="9">
        <f>-'Fane 4.2. Gen. krav - anlæg'!G37</f>
        <v>-2579754.448565749</v>
      </c>
      <c r="F19" s="8" t="s">
        <v>3</v>
      </c>
      <c r="G19" s="1"/>
    </row>
    <row r="20" spans="1:7" ht="15" customHeight="1" x14ac:dyDescent="0.25">
      <c r="A20" s="1"/>
      <c r="B20" s="93" t="s">
        <v>21</v>
      </c>
      <c r="C20" s="94"/>
      <c r="D20" s="95"/>
      <c r="E20" s="10">
        <f>SUM(E9:E19)</f>
        <v>317879036.58517754</v>
      </c>
      <c r="F20" s="11" t="s">
        <v>3</v>
      </c>
      <c r="G20" s="1"/>
    </row>
    <row r="21" spans="1:7" ht="15" customHeight="1" x14ac:dyDescent="0.25">
      <c r="A21" s="1"/>
      <c r="B21" s="32" t="s">
        <v>12</v>
      </c>
      <c r="C21" s="27"/>
      <c r="D21" s="27"/>
      <c r="E21" s="27"/>
      <c r="F21" s="19"/>
      <c r="G21" s="1"/>
    </row>
    <row r="22" spans="1:7" ht="15" customHeight="1" x14ac:dyDescent="0.25">
      <c r="A22" s="1"/>
      <c r="B22" s="123" t="s">
        <v>12</v>
      </c>
      <c r="C22" s="124"/>
      <c r="D22" s="125"/>
      <c r="E22" s="10">
        <v>40859321.497161314</v>
      </c>
      <c r="F22" s="11" t="s">
        <v>3</v>
      </c>
      <c r="G22" s="1"/>
    </row>
    <row r="23" spans="1:7" ht="15" customHeight="1" x14ac:dyDescent="0.25">
      <c r="A23" s="1"/>
      <c r="B23" s="126" t="s">
        <v>86</v>
      </c>
      <c r="C23" s="127"/>
      <c r="D23" s="128"/>
      <c r="E23" s="27"/>
      <c r="F23" s="27"/>
      <c r="G23" s="1"/>
    </row>
    <row r="24" spans="1:7" ht="15" customHeight="1" x14ac:dyDescent="0.25">
      <c r="A24" s="1"/>
      <c r="B24" s="83"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0" t="s">
        <v>81</v>
      </c>
      <c r="C26" s="121"/>
      <c r="D26" s="122"/>
      <c r="E26" s="9">
        <v>0</v>
      </c>
      <c r="F26" s="8" t="s">
        <v>3</v>
      </c>
      <c r="G26" s="1"/>
    </row>
    <row r="27" spans="1:7" ht="15" customHeight="1" x14ac:dyDescent="0.25">
      <c r="A27" s="1"/>
      <c r="B27" s="120" t="s">
        <v>82</v>
      </c>
      <c r="C27" s="121"/>
      <c r="D27" s="121"/>
      <c r="E27" s="9">
        <v>0</v>
      </c>
      <c r="F27" s="8" t="s">
        <v>3</v>
      </c>
      <c r="G27" s="1"/>
    </row>
    <row r="28" spans="1:7" ht="15" customHeight="1" x14ac:dyDescent="0.25">
      <c r="A28" s="1"/>
      <c r="B28" s="132" t="s">
        <v>87</v>
      </c>
      <c r="C28" s="133"/>
      <c r="D28" s="133"/>
      <c r="E28" s="39">
        <v>0</v>
      </c>
      <c r="F28" s="11" t="s">
        <v>3</v>
      </c>
      <c r="G28" s="1"/>
    </row>
    <row r="29" spans="1:7" ht="15" customHeight="1" x14ac:dyDescent="0.25">
      <c r="A29" s="1"/>
      <c r="B29" s="32" t="s">
        <v>143</v>
      </c>
      <c r="C29" s="32"/>
      <c r="D29" s="32"/>
      <c r="E29" s="27"/>
      <c r="F29" s="27"/>
      <c r="G29" s="1"/>
    </row>
    <row r="30" spans="1:7" ht="15" customHeight="1" x14ac:dyDescent="0.25">
      <c r="A30" s="1"/>
      <c r="B30" s="123" t="s">
        <v>142</v>
      </c>
      <c r="C30" s="124"/>
      <c r="D30" s="124"/>
      <c r="E30" s="39">
        <v>-9820078.6931052804</v>
      </c>
      <c r="F30" s="11" t="s">
        <v>3</v>
      </c>
      <c r="G30" s="1"/>
    </row>
    <row r="31" spans="1:7" x14ac:dyDescent="0.25">
      <c r="A31" s="1"/>
      <c r="B31" s="32" t="s">
        <v>123</v>
      </c>
      <c r="C31" s="27"/>
      <c r="D31" s="27"/>
      <c r="E31" s="27"/>
      <c r="F31" s="27"/>
      <c r="G31" s="1"/>
    </row>
    <row r="32" spans="1:7" ht="15.4" customHeight="1" x14ac:dyDescent="0.25">
      <c r="A32" s="1"/>
      <c r="B32" s="123" t="s">
        <v>123</v>
      </c>
      <c r="C32" s="124"/>
      <c r="D32" s="125"/>
      <c r="E32" s="10">
        <v>0</v>
      </c>
      <c r="F32" s="11" t="s">
        <v>3</v>
      </c>
      <c r="G32" s="1"/>
    </row>
    <row r="33" spans="1:7" ht="15.4" customHeight="1" x14ac:dyDescent="0.25">
      <c r="A33" s="1"/>
      <c r="B33" s="126" t="s">
        <v>175</v>
      </c>
      <c r="C33" s="127"/>
      <c r="D33" s="127"/>
      <c r="E33" s="127"/>
      <c r="F33" s="128"/>
      <c r="G33" s="1"/>
    </row>
    <row r="34" spans="1:7" ht="15.4" customHeight="1" x14ac:dyDescent="0.25">
      <c r="A34" s="1"/>
      <c r="B34" s="89" t="s">
        <v>176</v>
      </c>
      <c r="C34" s="10"/>
      <c r="D34" s="11"/>
      <c r="E34" s="10">
        <f>'Fane 8. Skattesagen'!G11</f>
        <v>0</v>
      </c>
      <c r="F34" s="11" t="s">
        <v>3</v>
      </c>
      <c r="G34" s="1"/>
    </row>
    <row r="35" spans="1:7" x14ac:dyDescent="0.25">
      <c r="A35" s="1"/>
      <c r="B35" s="32" t="s">
        <v>218</v>
      </c>
      <c r="C35" s="27"/>
      <c r="D35" s="19"/>
      <c r="E35" s="12">
        <f>SUM(E32,E30,E28,E24,E22,E20,E34)</f>
        <v>348918279.38923359</v>
      </c>
      <c r="F35" s="13" t="s">
        <v>3</v>
      </c>
      <c r="G35" s="1"/>
    </row>
    <row r="36" spans="1:7" ht="27" customHeight="1" x14ac:dyDescent="0.25">
      <c r="A36" s="1"/>
      <c r="B36" s="129" t="s">
        <v>222</v>
      </c>
      <c r="C36" s="130"/>
      <c r="D36" s="130"/>
      <c r="E36" s="130"/>
      <c r="F36" s="13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sheetData>
  <sheetProtection algorithmName="SHA-512" hashValue="x2XOgAuGogxpmpJO7ifcFK+hHmhoQAIgKe6qqtbK7+yDODgTd+Dyz7gv0lmpByapL0CLNEG0y45dKdbWPAxu+g==" saltValue="xXZCDXLiFQ9FJnX2P5vxt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4" t="s">
        <v>109</v>
      </c>
      <c r="C2" s="134"/>
      <c r="D2" s="134"/>
      <c r="E2" s="134"/>
      <c r="F2" s="134"/>
      <c r="G2" s="134"/>
      <c r="H2" s="134"/>
      <c r="I2" s="1"/>
    </row>
    <row r="3" spans="1:9" ht="28.5" customHeight="1" x14ac:dyDescent="0.25">
      <c r="A3" s="1"/>
      <c r="B3" s="134"/>
      <c r="C3" s="134"/>
      <c r="D3" s="134"/>
      <c r="E3" s="134"/>
      <c r="F3" s="134"/>
      <c r="G3" s="134"/>
      <c r="H3" s="134"/>
      <c r="I3" s="1"/>
    </row>
    <row r="4" spans="1:9" x14ac:dyDescent="0.25">
      <c r="A4" s="1"/>
      <c r="B4" s="126" t="s">
        <v>52</v>
      </c>
      <c r="C4" s="127"/>
      <c r="D4" s="127"/>
      <c r="E4" s="127"/>
      <c r="F4" s="127"/>
      <c r="G4" s="127"/>
      <c r="H4" s="128"/>
      <c r="I4" s="1"/>
    </row>
    <row r="5" spans="1:9" x14ac:dyDescent="0.25">
      <c r="A5" s="1"/>
      <c r="B5" s="136" t="s">
        <v>41</v>
      </c>
      <c r="C5" s="137"/>
      <c r="D5" s="137"/>
      <c r="E5" s="137"/>
      <c r="F5" s="138"/>
      <c r="G5" s="70">
        <v>144254587.07373461</v>
      </c>
      <c r="H5" s="14" t="s">
        <v>3</v>
      </c>
      <c r="I5" s="1"/>
    </row>
    <row r="6" spans="1:9" x14ac:dyDescent="0.25">
      <c r="A6" s="1"/>
      <c r="B6" s="129" t="s">
        <v>120</v>
      </c>
      <c r="C6" s="130"/>
      <c r="D6" s="130"/>
      <c r="E6" s="130"/>
      <c r="F6" s="131"/>
      <c r="G6" s="71">
        <v>0</v>
      </c>
      <c r="H6" s="14" t="s">
        <v>3</v>
      </c>
      <c r="I6" s="1"/>
    </row>
    <row r="7" spans="1:9" x14ac:dyDescent="0.25">
      <c r="A7" s="1"/>
      <c r="B7" s="136" t="s">
        <v>42</v>
      </c>
      <c r="C7" s="137"/>
      <c r="D7" s="137"/>
      <c r="E7" s="137"/>
      <c r="F7" s="138"/>
      <c r="G7" s="70">
        <f>SUM(G5:G6)*'Fane 15. Nøgletal'!C31</f>
        <v>2885091.7414746922</v>
      </c>
      <c r="H7" s="14" t="s">
        <v>3</v>
      </c>
      <c r="I7" s="1"/>
    </row>
    <row r="8" spans="1:9" x14ac:dyDescent="0.25">
      <c r="A8" s="1"/>
      <c r="B8" s="32"/>
      <c r="C8" s="27"/>
      <c r="D8" s="27"/>
      <c r="E8" s="27"/>
      <c r="F8" s="27"/>
      <c r="G8" s="72"/>
      <c r="H8" s="19"/>
      <c r="I8" s="1"/>
    </row>
    <row r="9" spans="1:9" x14ac:dyDescent="0.25">
      <c r="A9" s="1"/>
      <c r="B9" s="1"/>
      <c r="C9" s="1"/>
      <c r="D9" s="1"/>
      <c r="E9" s="1"/>
      <c r="F9" s="1"/>
      <c r="G9" s="73"/>
      <c r="H9" s="1"/>
      <c r="I9" s="1"/>
    </row>
    <row r="10" spans="1:9" x14ac:dyDescent="0.25">
      <c r="A10" s="1"/>
      <c r="B10" s="126" t="s">
        <v>53</v>
      </c>
      <c r="C10" s="127"/>
      <c r="D10" s="127"/>
      <c r="E10" s="127"/>
      <c r="F10" s="127"/>
      <c r="G10" s="135"/>
      <c r="H10" s="128"/>
      <c r="I10" s="1"/>
    </row>
    <row r="11" spans="1:9" x14ac:dyDescent="0.25">
      <c r="A11" s="1"/>
      <c r="B11" s="136" t="s">
        <v>43</v>
      </c>
      <c r="C11" s="137"/>
      <c r="D11" s="137"/>
      <c r="E11" s="137"/>
      <c r="F11" s="138"/>
      <c r="G11" s="70">
        <f>(G5-G7)*(1+'Fane 15. Nøgletal'!C10)</f>
        <v>143843461.50057447</v>
      </c>
      <c r="H11" s="14" t="s">
        <v>3</v>
      </c>
      <c r="I11" s="1"/>
    </row>
    <row r="12" spans="1:9" ht="15" customHeight="1" x14ac:dyDescent="0.25">
      <c r="A12" s="1"/>
      <c r="B12" s="136" t="s">
        <v>121</v>
      </c>
      <c r="C12" s="137"/>
      <c r="D12" s="137"/>
      <c r="E12" s="137"/>
      <c r="F12" s="138"/>
      <c r="G12" s="71">
        <v>927327.98867640423</v>
      </c>
      <c r="H12" s="14" t="s">
        <v>3</v>
      </c>
      <c r="I12" s="1"/>
    </row>
    <row r="13" spans="1:9" x14ac:dyDescent="0.25">
      <c r="A13" s="1"/>
      <c r="B13" s="129" t="s">
        <v>118</v>
      </c>
      <c r="C13" s="130"/>
      <c r="D13" s="130"/>
      <c r="E13" s="130"/>
      <c r="F13" s="131"/>
      <c r="G13" s="71">
        <v>0</v>
      </c>
      <c r="H13" s="14" t="s">
        <v>3</v>
      </c>
      <c r="I13" s="1"/>
    </row>
    <row r="14" spans="1:9" x14ac:dyDescent="0.25">
      <c r="A14" s="1"/>
      <c r="B14" s="139" t="s">
        <v>44</v>
      </c>
      <c r="C14" s="140"/>
      <c r="D14" s="140"/>
      <c r="E14" s="140"/>
      <c r="F14" s="141"/>
      <c r="G14" s="71">
        <v>20084209.28848125</v>
      </c>
      <c r="H14" s="14" t="s">
        <v>3</v>
      </c>
      <c r="I14" s="1"/>
    </row>
    <row r="15" spans="1:9" x14ac:dyDescent="0.25">
      <c r="A15" s="1"/>
      <c r="B15" s="136" t="s">
        <v>45</v>
      </c>
      <c r="C15" s="137"/>
      <c r="D15" s="137"/>
      <c r="E15" s="137"/>
      <c r="F15" s="138"/>
      <c r="G15" s="70">
        <f>SUM(G11:G14)*'Fane 15. Nøgletal'!C31</f>
        <v>3297099.9755546427</v>
      </c>
      <c r="H15" s="14" t="s">
        <v>3</v>
      </c>
      <c r="I15" s="1"/>
    </row>
    <row r="16" spans="1:9" x14ac:dyDescent="0.25">
      <c r="A16" s="1"/>
      <c r="B16" s="32"/>
      <c r="C16" s="27"/>
      <c r="D16" s="27"/>
      <c r="E16" s="27"/>
      <c r="F16" s="27"/>
      <c r="G16" s="72"/>
      <c r="H16" s="19"/>
      <c r="I16" s="1"/>
    </row>
    <row r="17" spans="1:9" x14ac:dyDescent="0.25">
      <c r="A17" s="1"/>
      <c r="B17" s="1"/>
      <c r="C17" s="1"/>
      <c r="D17" s="1"/>
      <c r="E17" s="1"/>
      <c r="F17" s="1"/>
      <c r="G17" s="73"/>
      <c r="H17" s="1"/>
      <c r="I17" s="1"/>
    </row>
    <row r="18" spans="1:9" x14ac:dyDescent="0.25">
      <c r="A18" s="1"/>
      <c r="B18" s="126" t="s">
        <v>54</v>
      </c>
      <c r="C18" s="127"/>
      <c r="D18" s="127"/>
      <c r="E18" s="127"/>
      <c r="F18" s="127"/>
      <c r="G18" s="135"/>
      <c r="H18" s="128"/>
      <c r="I18" s="1"/>
    </row>
    <row r="19" spans="1:9" x14ac:dyDescent="0.25">
      <c r="A19" s="1"/>
      <c r="B19" s="136" t="s">
        <v>46</v>
      </c>
      <c r="C19" s="137"/>
      <c r="D19" s="137"/>
      <c r="E19" s="137"/>
      <c r="F19" s="138"/>
      <c r="G19" s="70">
        <f>(SUM(G11:G12,G14)-(G15))*(1+'Fane 15. Nøgletal'!C10)</f>
        <v>164385162.03121561</v>
      </c>
      <c r="H19" s="14" t="s">
        <v>3</v>
      </c>
      <c r="I19" s="1"/>
    </row>
    <row r="20" spans="1:9" x14ac:dyDescent="0.25">
      <c r="A20" s="1"/>
      <c r="B20" s="139" t="s">
        <v>47</v>
      </c>
      <c r="C20" s="140"/>
      <c r="D20" s="140"/>
      <c r="E20" s="140"/>
      <c r="F20" s="141"/>
      <c r="G20" s="71">
        <v>0</v>
      </c>
      <c r="H20" s="14" t="s">
        <v>3</v>
      </c>
      <c r="I20" s="1"/>
    </row>
    <row r="21" spans="1:9" x14ac:dyDescent="0.25">
      <c r="A21" s="1"/>
      <c r="B21" s="136" t="s">
        <v>48</v>
      </c>
      <c r="C21" s="137"/>
      <c r="D21" s="137"/>
      <c r="E21" s="137"/>
      <c r="F21" s="138"/>
      <c r="G21" s="70">
        <f>SUM(G19:G20)*'Fane 15. Nøgletal'!C31</f>
        <v>3287703.2406243123</v>
      </c>
      <c r="H21" s="14" t="s">
        <v>3</v>
      </c>
      <c r="I21" s="1"/>
    </row>
    <row r="22" spans="1:9" x14ac:dyDescent="0.25">
      <c r="A22" s="1"/>
      <c r="B22" s="32"/>
      <c r="C22" s="27"/>
      <c r="D22" s="27"/>
      <c r="E22" s="27"/>
      <c r="F22" s="27"/>
      <c r="G22" s="72"/>
      <c r="H22" s="19"/>
      <c r="I22" s="1"/>
    </row>
    <row r="23" spans="1:9" x14ac:dyDescent="0.25">
      <c r="A23" s="1"/>
      <c r="B23" s="1"/>
      <c r="C23" s="1"/>
      <c r="D23" s="1"/>
      <c r="E23" s="1"/>
      <c r="F23" s="1"/>
      <c r="G23" s="73"/>
      <c r="H23" s="1"/>
      <c r="I23" s="1"/>
    </row>
    <row r="24" spans="1:9" x14ac:dyDescent="0.25">
      <c r="A24" s="1"/>
      <c r="B24" s="126" t="s">
        <v>55</v>
      </c>
      <c r="C24" s="127"/>
      <c r="D24" s="127"/>
      <c r="E24" s="127"/>
      <c r="F24" s="127"/>
      <c r="G24" s="135"/>
      <c r="H24" s="128"/>
      <c r="I24" s="1"/>
    </row>
    <row r="25" spans="1:9" x14ac:dyDescent="0.25">
      <c r="A25" s="1"/>
      <c r="B25" s="136" t="s">
        <v>49</v>
      </c>
      <c r="C25" s="137"/>
      <c r="D25" s="137"/>
      <c r="E25" s="137"/>
      <c r="F25" s="138"/>
      <c r="G25" s="70">
        <f>(G19+G20-G21)*(1+'Fane 15. Nøgletal'!C12)</f>
        <v>164271078.72876596</v>
      </c>
      <c r="H25" s="14" t="s">
        <v>3</v>
      </c>
      <c r="I25" s="1"/>
    </row>
    <row r="26" spans="1:9" x14ac:dyDescent="0.25">
      <c r="A26" s="1"/>
      <c r="B26" s="139" t="s">
        <v>50</v>
      </c>
      <c r="C26" s="140"/>
      <c r="D26" s="140"/>
      <c r="E26" s="140"/>
      <c r="F26" s="141"/>
      <c r="G26" s="71">
        <v>0</v>
      </c>
      <c r="H26" s="14" t="s">
        <v>3</v>
      </c>
      <c r="I26" s="1"/>
    </row>
    <row r="27" spans="1:9" x14ac:dyDescent="0.25">
      <c r="A27" s="1"/>
      <c r="B27" s="136" t="s">
        <v>51</v>
      </c>
      <c r="C27" s="137"/>
      <c r="D27" s="137"/>
      <c r="E27" s="137"/>
      <c r="F27" s="138"/>
      <c r="G27" s="70">
        <f>(G25+G26)*'Fane 15. Nøgletal'!C31</f>
        <v>3285421.5745753194</v>
      </c>
      <c r="H27" s="14" t="s">
        <v>3</v>
      </c>
      <c r="I27" s="1"/>
    </row>
    <row r="28" spans="1:9" x14ac:dyDescent="0.25">
      <c r="A28" s="1"/>
      <c r="B28" s="32"/>
      <c r="C28" s="27"/>
      <c r="D28" s="27"/>
      <c r="E28" s="27"/>
      <c r="F28" s="27"/>
      <c r="G28" s="72"/>
      <c r="H28" s="19"/>
      <c r="I28" s="1"/>
    </row>
    <row r="29" spans="1:9" x14ac:dyDescent="0.25">
      <c r="A29" s="1"/>
      <c r="B29" s="1"/>
      <c r="C29" s="1"/>
      <c r="D29" s="1"/>
      <c r="E29" s="1"/>
      <c r="F29" s="1"/>
      <c r="G29" s="73"/>
      <c r="H29" s="1"/>
      <c r="I29" s="1"/>
    </row>
    <row r="30" spans="1:9" x14ac:dyDescent="0.25">
      <c r="A30" s="1"/>
      <c r="B30" s="126" t="s">
        <v>58</v>
      </c>
      <c r="C30" s="127"/>
      <c r="D30" s="127"/>
      <c r="E30" s="127"/>
      <c r="F30" s="127"/>
      <c r="G30" s="135"/>
      <c r="H30" s="128"/>
      <c r="I30" s="1"/>
    </row>
    <row r="31" spans="1:9" x14ac:dyDescent="0.25">
      <c r="A31" s="1"/>
      <c r="B31" s="136" t="s">
        <v>59</v>
      </c>
      <c r="C31" s="137"/>
      <c r="D31" s="137"/>
      <c r="E31" s="137"/>
      <c r="F31" s="138"/>
      <c r="G31" s="70">
        <f>(G25+G26-G27)*(1+'Fane 15. Nøgletal'!C12)</f>
        <v>164157074.60012823</v>
      </c>
      <c r="H31" s="14" t="s">
        <v>3</v>
      </c>
      <c r="I31" s="1"/>
    </row>
    <row r="32" spans="1:9" x14ac:dyDescent="0.25">
      <c r="A32" s="1"/>
      <c r="B32" s="136" t="s">
        <v>137</v>
      </c>
      <c r="C32" s="137"/>
      <c r="D32" s="137"/>
      <c r="E32" s="137"/>
      <c r="F32" s="138"/>
      <c r="G32" s="70">
        <v>640301.01849755994</v>
      </c>
      <c r="H32" s="14" t="s">
        <v>3</v>
      </c>
      <c r="I32" s="1"/>
    </row>
    <row r="33" spans="1:9" x14ac:dyDescent="0.25">
      <c r="A33" s="1"/>
      <c r="B33" s="136" t="s">
        <v>60</v>
      </c>
      <c r="C33" s="137"/>
      <c r="D33" s="137"/>
      <c r="E33" s="137"/>
      <c r="F33" s="138"/>
      <c r="G33" s="70">
        <f>(G31+G32)*'Fane 15. Nøgletal'!C31</f>
        <v>3295947.5123725161</v>
      </c>
      <c r="H33" s="14" t="s">
        <v>3</v>
      </c>
      <c r="I33" s="1"/>
    </row>
    <row r="34" spans="1:9" x14ac:dyDescent="0.25">
      <c r="A34" s="1"/>
      <c r="B34" s="32"/>
      <c r="C34" s="27"/>
      <c r="D34" s="27"/>
      <c r="E34" s="27"/>
      <c r="F34" s="27"/>
      <c r="G34" s="72"/>
      <c r="H34" s="19"/>
      <c r="I34" s="1"/>
    </row>
    <row r="35" spans="1:9" x14ac:dyDescent="0.25">
      <c r="A35" s="1"/>
      <c r="B35" s="1"/>
      <c r="C35" s="1"/>
      <c r="D35" s="1"/>
      <c r="E35" s="1"/>
      <c r="F35" s="1"/>
      <c r="G35" s="73"/>
      <c r="H35" s="1"/>
      <c r="I35" s="1"/>
    </row>
    <row r="36" spans="1:9" x14ac:dyDescent="0.25">
      <c r="A36" s="1"/>
      <c r="B36" s="126" t="s">
        <v>160</v>
      </c>
      <c r="C36" s="127"/>
      <c r="D36" s="127"/>
      <c r="E36" s="127"/>
      <c r="F36" s="127"/>
      <c r="G36" s="135"/>
      <c r="H36" s="128"/>
      <c r="I36" s="1"/>
    </row>
    <row r="37" spans="1:9" x14ac:dyDescent="0.25">
      <c r="A37" s="1"/>
      <c r="B37" s="136" t="s">
        <v>79</v>
      </c>
      <c r="C37" s="137"/>
      <c r="D37" s="137"/>
      <c r="E37" s="137"/>
      <c r="F37" s="138"/>
      <c r="G37" s="70">
        <f>(G31+G32-G33)*(1+'Fane 15. Nøgletal'!C14)</f>
        <v>162034382.81900391</v>
      </c>
      <c r="H37" s="14" t="s">
        <v>3</v>
      </c>
      <c r="I37" s="1"/>
    </row>
    <row r="38" spans="1:9" x14ac:dyDescent="0.25">
      <c r="A38" s="1"/>
      <c r="B38" s="136" t="s">
        <v>164</v>
      </c>
      <c r="C38" s="137"/>
      <c r="D38" s="137"/>
      <c r="E38" s="137"/>
      <c r="F38" s="138"/>
      <c r="G38" s="70">
        <v>1250832.81091002</v>
      </c>
      <c r="H38" s="14" t="s">
        <v>3</v>
      </c>
      <c r="I38" s="1"/>
    </row>
    <row r="39" spans="1:9" x14ac:dyDescent="0.25">
      <c r="A39" s="1"/>
      <c r="B39" s="136" t="s">
        <v>162</v>
      </c>
      <c r="C39" s="137"/>
      <c r="D39" s="137"/>
      <c r="E39" s="137"/>
      <c r="F39" s="138"/>
      <c r="G39" s="70">
        <f>(G37+G38)*'Fane 15. Nøgletal'!C31</f>
        <v>3265704.3125982787</v>
      </c>
      <c r="H39" s="14" t="s">
        <v>3</v>
      </c>
      <c r="I39" s="1"/>
    </row>
    <row r="40" spans="1:9" x14ac:dyDescent="0.25">
      <c r="A40" s="1"/>
      <c r="B40" s="32"/>
      <c r="C40" s="27"/>
      <c r="D40" s="27"/>
      <c r="E40" s="27"/>
      <c r="F40" s="27"/>
      <c r="G40" s="72"/>
      <c r="H40" s="19"/>
      <c r="I40" s="1"/>
    </row>
    <row r="41" spans="1:9" x14ac:dyDescent="0.25">
      <c r="A41" s="1"/>
      <c r="B41" s="1"/>
      <c r="C41" s="1"/>
      <c r="D41" s="1"/>
      <c r="E41" s="1"/>
      <c r="F41" s="1"/>
      <c r="G41" s="73"/>
      <c r="H41" s="1"/>
      <c r="I41" s="1"/>
    </row>
    <row r="42" spans="1:9" x14ac:dyDescent="0.25">
      <c r="A42" s="1"/>
      <c r="B42" s="126" t="s">
        <v>161</v>
      </c>
      <c r="C42" s="127"/>
      <c r="D42" s="127"/>
      <c r="E42" s="127"/>
      <c r="F42" s="127"/>
      <c r="G42" s="135"/>
      <c r="H42" s="128"/>
      <c r="I42" s="1"/>
    </row>
    <row r="43" spans="1:9" x14ac:dyDescent="0.25">
      <c r="A43" s="1"/>
      <c r="B43" s="136" t="s">
        <v>228</v>
      </c>
      <c r="C43" s="137"/>
      <c r="D43" s="137"/>
      <c r="E43" s="137"/>
      <c r="F43" s="138"/>
      <c r="G43" s="70">
        <f>(G37+G38-G39)*(1+'Fane 15. Nøgletal'!C14)</f>
        <v>160547575.7046628</v>
      </c>
      <c r="H43" s="14" t="s">
        <v>3</v>
      </c>
      <c r="I43" s="1"/>
    </row>
    <row r="44" spans="1:9" x14ac:dyDescent="0.25">
      <c r="A44" s="1"/>
      <c r="B44" s="142" t="s">
        <v>230</v>
      </c>
      <c r="C44" s="143"/>
      <c r="D44" s="143"/>
      <c r="E44" s="143"/>
      <c r="F44" s="144"/>
      <c r="G44" s="74">
        <f>('Fane 2.1. Økonomisk ramme 2023'!C10+'Fane 2.1. Økonomisk ramme 2023'!C12+'Fane 2.1. Økonomisk ramme 2023'!C14)*(1+'Fane 15. Nøgletal'!C15)</f>
        <v>0</v>
      </c>
      <c r="H44" s="14" t="s">
        <v>3</v>
      </c>
      <c r="I44" s="1"/>
    </row>
    <row r="45" spans="1:9" x14ac:dyDescent="0.25">
      <c r="A45" s="1"/>
      <c r="B45" s="136" t="s">
        <v>163</v>
      </c>
      <c r="C45" s="137"/>
      <c r="D45" s="137"/>
      <c r="E45" s="137"/>
      <c r="F45" s="138"/>
      <c r="G45" s="70">
        <f>SUM(G43:G44)*'Fane 15. Nøgletal'!C31</f>
        <v>3210951.5140932561</v>
      </c>
      <c r="H45" s="14" t="s">
        <v>3</v>
      </c>
      <c r="I45" s="1"/>
    </row>
    <row r="46" spans="1:9" x14ac:dyDescent="0.25">
      <c r="A46" s="1"/>
      <c r="B46" s="32"/>
      <c r="C46" s="27"/>
      <c r="D46" s="27"/>
      <c r="E46" s="27"/>
      <c r="F46" s="27"/>
      <c r="G46" s="72"/>
      <c r="H46" s="19"/>
      <c r="I46" s="1"/>
    </row>
    <row r="47" spans="1:9" x14ac:dyDescent="0.25">
      <c r="A47" s="1"/>
      <c r="B47" s="1"/>
      <c r="C47" s="1"/>
      <c r="D47" s="1"/>
      <c r="E47" s="1"/>
      <c r="F47" s="1"/>
      <c r="G47" s="73"/>
      <c r="H47" s="1"/>
      <c r="I47" s="1"/>
    </row>
    <row r="48" spans="1:9" x14ac:dyDescent="0.25">
      <c r="A48" s="1"/>
      <c r="B48" s="1"/>
      <c r="C48" s="1"/>
      <c r="D48" s="1"/>
      <c r="E48" s="1"/>
      <c r="F48" s="1"/>
      <c r="G48" s="73"/>
      <c r="H48" s="1"/>
      <c r="I48" s="1"/>
    </row>
    <row r="49" spans="1:9" x14ac:dyDescent="0.25">
      <c r="A49" s="1"/>
      <c r="B49" s="1"/>
      <c r="C49" s="1"/>
      <c r="D49" s="1"/>
      <c r="E49" s="1"/>
      <c r="F49" s="1"/>
      <c r="G49" s="73"/>
      <c r="H49" s="1"/>
      <c r="I49" s="1"/>
    </row>
    <row r="50" spans="1:9" x14ac:dyDescent="0.25">
      <c r="A50" s="1"/>
      <c r="B50" s="1"/>
      <c r="C50" s="1"/>
      <c r="D50" s="1"/>
      <c r="E50" s="1"/>
      <c r="F50" s="1"/>
      <c r="G50" s="73"/>
      <c r="H50" s="1"/>
      <c r="I50" s="1"/>
    </row>
    <row r="51" spans="1:9" x14ac:dyDescent="0.25">
      <c r="A51" s="1"/>
      <c r="B51" s="126" t="s">
        <v>241</v>
      </c>
      <c r="C51" s="127"/>
      <c r="D51" s="127"/>
      <c r="E51" s="127"/>
      <c r="F51" s="127"/>
      <c r="G51" s="135"/>
      <c r="H51" s="128"/>
      <c r="I51" s="1"/>
    </row>
    <row r="52" spans="1:9" x14ac:dyDescent="0.25">
      <c r="A52" s="1"/>
      <c r="B52" s="136" t="s">
        <v>227</v>
      </c>
      <c r="C52" s="137"/>
      <c r="D52" s="137"/>
      <c r="E52" s="137"/>
      <c r="F52" s="138"/>
      <c r="G52" s="70">
        <f>(G43+G44-G45)*(1+'Fane 15. Nøgletal'!C15)</f>
        <v>162937808.01175383</v>
      </c>
      <c r="H52" s="14" t="s">
        <v>3</v>
      </c>
      <c r="I52" s="1"/>
    </row>
    <row r="53" spans="1:9" x14ac:dyDescent="0.25">
      <c r="A53" s="1"/>
      <c r="B53" s="136" t="s">
        <v>138</v>
      </c>
      <c r="C53" s="137"/>
      <c r="D53" s="137"/>
      <c r="E53" s="137"/>
      <c r="F53" s="138"/>
      <c r="G53" s="70">
        <f>(G52)*'Fane 15. Nøgletal'!C31</f>
        <v>3258756.1602350767</v>
      </c>
      <c r="H53" s="14" t="s">
        <v>3</v>
      </c>
      <c r="I53" s="1"/>
    </row>
    <row r="54" spans="1:9" x14ac:dyDescent="0.25">
      <c r="A54" s="1"/>
      <c r="B54" s="32"/>
      <c r="C54" s="27"/>
      <c r="D54" s="27"/>
      <c r="E54" s="27"/>
      <c r="F54" s="27"/>
      <c r="G54" s="72"/>
      <c r="H54" s="19"/>
      <c r="I54" s="1"/>
    </row>
    <row r="55" spans="1:9" x14ac:dyDescent="0.25">
      <c r="A55" s="1"/>
      <c r="B55" s="1"/>
      <c r="C55" s="1"/>
      <c r="D55" s="1"/>
      <c r="E55" s="1"/>
      <c r="F55" s="1"/>
      <c r="G55" s="73"/>
      <c r="H55" s="1"/>
      <c r="I55" s="1"/>
    </row>
    <row r="56" spans="1:9" x14ac:dyDescent="0.25">
      <c r="A56" s="1"/>
      <c r="B56" s="126" t="s">
        <v>150</v>
      </c>
      <c r="C56" s="127"/>
      <c r="D56" s="127"/>
      <c r="E56" s="127"/>
      <c r="F56" s="127"/>
      <c r="G56" s="135"/>
      <c r="H56" s="128"/>
      <c r="I56" s="1"/>
    </row>
    <row r="57" spans="1:9" x14ac:dyDescent="0.25">
      <c r="A57" s="1"/>
      <c r="B57" s="85" t="s">
        <v>151</v>
      </c>
      <c r="C57" s="86"/>
      <c r="D57" s="86"/>
      <c r="E57" s="86"/>
      <c r="F57" s="87"/>
      <c r="G57" s="70">
        <f>(G52-G53)*(1+'Fane 15. Nøgletal'!C15)</f>
        <v>165363626.09743282</v>
      </c>
      <c r="H57" s="14" t="s">
        <v>3</v>
      </c>
      <c r="I57" s="1"/>
    </row>
    <row r="58" spans="1:9" x14ac:dyDescent="0.25">
      <c r="A58" s="1"/>
      <c r="B58" s="85" t="s">
        <v>152</v>
      </c>
      <c r="C58" s="86"/>
      <c r="D58" s="86"/>
      <c r="E58" s="86"/>
      <c r="F58" s="87"/>
      <c r="G58" s="70">
        <f>(G57)*'Fane 15. Nøgletal'!C31</f>
        <v>3307272.5219486565</v>
      </c>
      <c r="H58" s="14" t="s">
        <v>3</v>
      </c>
      <c r="I58" s="1"/>
    </row>
    <row r="59" spans="1:9" x14ac:dyDescent="0.25">
      <c r="A59" s="1"/>
      <c r="B59" s="32"/>
      <c r="C59" s="27"/>
      <c r="D59" s="27"/>
      <c r="E59" s="27"/>
      <c r="F59" s="27"/>
      <c r="G59" s="72"/>
      <c r="H59" s="19"/>
      <c r="I59" s="1"/>
    </row>
    <row r="60" spans="1:9" x14ac:dyDescent="0.25">
      <c r="A60" s="1"/>
      <c r="B60" s="1"/>
      <c r="C60" s="1"/>
      <c r="D60" s="1"/>
      <c r="E60" s="1"/>
      <c r="F60" s="1"/>
      <c r="G60" s="73"/>
      <c r="H60" s="1"/>
      <c r="I60" s="1"/>
    </row>
    <row r="61" spans="1:9" x14ac:dyDescent="0.25">
      <c r="A61" s="1"/>
      <c r="B61" s="126" t="s">
        <v>193</v>
      </c>
      <c r="C61" s="127"/>
      <c r="D61" s="127"/>
      <c r="E61" s="127"/>
      <c r="F61" s="127"/>
      <c r="G61" s="135"/>
      <c r="H61" s="128"/>
      <c r="I61" s="1"/>
    </row>
    <row r="62" spans="1:9" x14ac:dyDescent="0.25">
      <c r="A62" s="1"/>
      <c r="B62" s="85" t="s">
        <v>194</v>
      </c>
      <c r="C62" s="86"/>
      <c r="D62" s="86"/>
      <c r="E62" s="86"/>
      <c r="F62" s="87"/>
      <c r="G62" s="70">
        <f>(G57-G58)*(1+'Fane 15. Nøgletal'!C15)</f>
        <v>167825559.7627714</v>
      </c>
      <c r="H62" s="14" t="s">
        <v>3</v>
      </c>
      <c r="I62" s="1"/>
    </row>
    <row r="63" spans="1:9" x14ac:dyDescent="0.25">
      <c r="A63" s="1"/>
      <c r="B63" s="85" t="s">
        <v>195</v>
      </c>
      <c r="C63" s="86"/>
      <c r="D63" s="86"/>
      <c r="E63" s="86"/>
      <c r="F63" s="87"/>
      <c r="G63" s="70">
        <f>(G62)*'Fane 15. Nøgletal'!C31</f>
        <v>3356511.1952554281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1kjQySK3ejCLDrGODk8G/XHIFPKEhjqjB12LLd0Wz2gyKYRzYGOq1hWevbn56aFnBMD9WGRShEhaEm9gUs6jtA==" saltValue="oKCDbGGFdQqsht5OSLbR5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70"/>
  <sheetViews>
    <sheetView showGridLines="0" view="pageLayout" zoomScaleNormal="100"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5" t="s">
        <v>110</v>
      </c>
      <c r="C1" s="145"/>
      <c r="D1" s="145"/>
      <c r="E1" s="145"/>
      <c r="F1" s="145"/>
      <c r="G1" s="145"/>
      <c r="H1" s="145"/>
      <c r="I1" s="1"/>
    </row>
    <row r="2" spans="1:9" ht="15" customHeight="1" x14ac:dyDescent="0.25">
      <c r="A2" s="1"/>
      <c r="B2" s="145"/>
      <c r="C2" s="145"/>
      <c r="D2" s="145"/>
      <c r="E2" s="145"/>
      <c r="F2" s="145"/>
      <c r="G2" s="145"/>
      <c r="H2" s="145"/>
      <c r="I2" s="1"/>
    </row>
    <row r="3" spans="1:9" ht="15" customHeight="1" x14ac:dyDescent="0.25">
      <c r="A3" s="1"/>
      <c r="B3" s="146"/>
      <c r="C3" s="146"/>
      <c r="D3" s="146"/>
      <c r="E3" s="146"/>
      <c r="F3" s="146"/>
      <c r="G3" s="146"/>
      <c r="H3" s="146"/>
      <c r="I3" s="1"/>
    </row>
    <row r="4" spans="1:9" x14ac:dyDescent="0.25">
      <c r="A4" s="1"/>
      <c r="B4" s="126" t="s">
        <v>56</v>
      </c>
      <c r="C4" s="127"/>
      <c r="D4" s="127"/>
      <c r="E4" s="127"/>
      <c r="F4" s="127"/>
      <c r="G4" s="127"/>
      <c r="H4" s="128"/>
      <c r="I4" s="1"/>
    </row>
    <row r="5" spans="1:9" x14ac:dyDescent="0.25">
      <c r="A5" s="1"/>
      <c r="B5" s="136" t="s">
        <v>61</v>
      </c>
      <c r="C5" s="137"/>
      <c r="D5" s="137"/>
      <c r="E5" s="137"/>
      <c r="F5" s="138"/>
      <c r="G5" s="70">
        <v>155378061.51667443</v>
      </c>
      <c r="H5" s="14" t="s">
        <v>3</v>
      </c>
      <c r="I5" s="1"/>
    </row>
    <row r="6" spans="1:9" x14ac:dyDescent="0.25">
      <c r="A6" s="1"/>
      <c r="B6" s="136" t="s">
        <v>57</v>
      </c>
      <c r="C6" s="137"/>
      <c r="D6" s="137"/>
      <c r="E6" s="137"/>
      <c r="F6" s="138"/>
      <c r="G6" s="70">
        <f>G5*'Fane 15. Nøgletal'!C20</f>
        <v>1413940.3598017374</v>
      </c>
      <c r="H6" s="14" t="s">
        <v>3</v>
      </c>
      <c r="I6" s="1"/>
    </row>
    <row r="7" spans="1:9" x14ac:dyDescent="0.25">
      <c r="A7" s="1"/>
      <c r="B7" s="32"/>
      <c r="C7" s="27"/>
      <c r="D7" s="27"/>
      <c r="E7" s="27"/>
      <c r="F7" s="27"/>
      <c r="G7" s="72"/>
      <c r="H7" s="19"/>
      <c r="I7" s="1"/>
    </row>
    <row r="8" spans="1:9" x14ac:dyDescent="0.25">
      <c r="A8" s="1"/>
      <c r="B8" s="1"/>
      <c r="C8" s="1"/>
      <c r="D8" s="1"/>
      <c r="E8" s="1"/>
      <c r="F8" s="1"/>
      <c r="G8" s="73"/>
      <c r="H8" s="1"/>
      <c r="I8" s="1"/>
    </row>
    <row r="9" spans="1:9" x14ac:dyDescent="0.25">
      <c r="A9" s="1"/>
      <c r="B9" s="126" t="s">
        <v>62</v>
      </c>
      <c r="C9" s="127"/>
      <c r="D9" s="127"/>
      <c r="E9" s="127"/>
      <c r="F9" s="127"/>
      <c r="G9" s="135"/>
      <c r="H9" s="128"/>
      <c r="I9" s="1"/>
    </row>
    <row r="10" spans="1:9" x14ac:dyDescent="0.25">
      <c r="A10" s="1"/>
      <c r="B10" s="136" t="s">
        <v>63</v>
      </c>
      <c r="C10" s="137"/>
      <c r="D10" s="137"/>
      <c r="E10" s="137"/>
      <c r="F10" s="138"/>
      <c r="G10" s="70">
        <f>(G5-G6)*(1+'Fane 15. Nøgletal'!C10)</f>
        <v>156658493.27711797</v>
      </c>
      <c r="H10" s="14" t="s">
        <v>3</v>
      </c>
      <c r="I10" s="1"/>
    </row>
    <row r="11" spans="1:9" x14ac:dyDescent="0.25">
      <c r="A11" s="1"/>
      <c r="B11" s="136" t="s">
        <v>122</v>
      </c>
      <c r="C11" s="137"/>
      <c r="D11" s="137"/>
      <c r="E11" s="137"/>
      <c r="F11" s="138"/>
      <c r="G11" s="70">
        <v>6888501.4233687846</v>
      </c>
      <c r="H11" s="14" t="s">
        <v>3</v>
      </c>
      <c r="I11" s="1"/>
    </row>
    <row r="12" spans="1:9" x14ac:dyDescent="0.25">
      <c r="A12" s="1"/>
      <c r="B12" s="139" t="s">
        <v>64</v>
      </c>
      <c r="C12" s="140"/>
      <c r="D12" s="140"/>
      <c r="E12" s="140"/>
      <c r="F12" s="141"/>
      <c r="G12" s="71">
        <v>0</v>
      </c>
      <c r="H12" s="14" t="s">
        <v>3</v>
      </c>
      <c r="I12" s="1"/>
    </row>
    <row r="13" spans="1:9" x14ac:dyDescent="0.25">
      <c r="A13" s="1"/>
      <c r="B13" s="136" t="s">
        <v>65</v>
      </c>
      <c r="C13" s="137"/>
      <c r="D13" s="137"/>
      <c r="E13" s="137"/>
      <c r="F13" s="138"/>
      <c r="G13" s="70">
        <f>SUM(G10:G12)*'Fane 15. Nøgletal'!C21</f>
        <v>2894781.8061986156</v>
      </c>
      <c r="H13" s="14" t="s">
        <v>3</v>
      </c>
      <c r="I13" s="1"/>
    </row>
    <row r="14" spans="1:9" x14ac:dyDescent="0.25">
      <c r="A14" s="1"/>
      <c r="B14" s="32"/>
      <c r="C14" s="27"/>
      <c r="D14" s="27"/>
      <c r="E14" s="27"/>
      <c r="F14" s="27"/>
      <c r="G14" s="72"/>
      <c r="H14" s="19"/>
      <c r="I14" s="1"/>
    </row>
    <row r="15" spans="1:9" x14ac:dyDescent="0.25">
      <c r="A15" s="1"/>
      <c r="B15" s="1"/>
      <c r="C15" s="1"/>
      <c r="D15" s="1"/>
      <c r="E15" s="1"/>
      <c r="F15" s="1"/>
      <c r="G15" s="73"/>
      <c r="H15" s="1"/>
      <c r="I15" s="1"/>
    </row>
    <row r="16" spans="1:9" x14ac:dyDescent="0.25">
      <c r="A16" s="1"/>
      <c r="B16" s="126" t="s">
        <v>66</v>
      </c>
      <c r="C16" s="127"/>
      <c r="D16" s="127"/>
      <c r="E16" s="127"/>
      <c r="F16" s="127"/>
      <c r="G16" s="135"/>
      <c r="H16" s="128"/>
      <c r="I16" s="1"/>
    </row>
    <row r="17" spans="1:9" x14ac:dyDescent="0.25">
      <c r="A17" s="1"/>
      <c r="B17" s="136" t="s">
        <v>67</v>
      </c>
      <c r="C17" s="137"/>
      <c r="D17" s="137"/>
      <c r="E17" s="137"/>
      <c r="F17" s="138"/>
      <c r="G17" s="70">
        <f>(SUM(G10:G12)-G13)*(1+'Fane 15. Nøgletal'!C10)</f>
        <v>163463626.61993816</v>
      </c>
      <c r="H17" s="14" t="s">
        <v>3</v>
      </c>
      <c r="I17" s="1"/>
    </row>
    <row r="18" spans="1:9" x14ac:dyDescent="0.25">
      <c r="A18" s="1"/>
      <c r="B18" s="139" t="s">
        <v>68</v>
      </c>
      <c r="C18" s="140"/>
      <c r="D18" s="140"/>
      <c r="E18" s="140"/>
      <c r="F18" s="141"/>
      <c r="G18" s="70">
        <v>4717908.1024258388</v>
      </c>
      <c r="H18" s="14" t="s">
        <v>3</v>
      </c>
      <c r="I18" s="1"/>
    </row>
    <row r="19" spans="1:9" x14ac:dyDescent="0.25">
      <c r="A19" s="1"/>
      <c r="B19" s="136" t="s">
        <v>69</v>
      </c>
      <c r="C19" s="137"/>
      <c r="D19" s="137"/>
      <c r="E19" s="137"/>
      <c r="F19" s="138"/>
      <c r="G19" s="70">
        <f>G17*'Fane 15. Nøgletal'!C21+G18*'Fane 15. Nøgletal'!C22</f>
        <v>2934351.9916640106</v>
      </c>
      <c r="H19" s="14" t="s">
        <v>3</v>
      </c>
      <c r="I19" s="1"/>
    </row>
    <row r="20" spans="1:9" x14ac:dyDescent="0.25">
      <c r="A20" s="1"/>
      <c r="B20" s="32"/>
      <c r="C20" s="27"/>
      <c r="D20" s="27"/>
      <c r="E20" s="27"/>
      <c r="F20" s="27"/>
      <c r="G20" s="72"/>
      <c r="H20" s="19"/>
      <c r="I20" s="1"/>
    </row>
    <row r="21" spans="1:9" x14ac:dyDescent="0.25">
      <c r="A21" s="1"/>
      <c r="B21" s="1"/>
      <c r="C21" s="1"/>
      <c r="D21" s="1"/>
      <c r="E21" s="1"/>
      <c r="F21" s="1"/>
      <c r="G21" s="73"/>
      <c r="H21" s="1"/>
      <c r="I21" s="1"/>
    </row>
    <row r="22" spans="1:9" x14ac:dyDescent="0.25">
      <c r="A22" s="1"/>
      <c r="B22" s="126" t="s">
        <v>70</v>
      </c>
      <c r="C22" s="127"/>
      <c r="D22" s="127"/>
      <c r="E22" s="127"/>
      <c r="F22" s="127"/>
      <c r="G22" s="135"/>
      <c r="H22" s="128"/>
      <c r="I22" s="1"/>
    </row>
    <row r="23" spans="1:9" x14ac:dyDescent="0.25">
      <c r="A23" s="1"/>
      <c r="B23" s="136" t="s">
        <v>71</v>
      </c>
      <c r="C23" s="137"/>
      <c r="D23" s="137"/>
      <c r="E23" s="137"/>
      <c r="F23" s="138"/>
      <c r="G23" s="70">
        <f>(G17+G18-G19)*(1+'Fane 15. Nøgletal'!C12)</f>
        <v>168502552.2304948</v>
      </c>
      <c r="H23" s="14" t="s">
        <v>3</v>
      </c>
      <c r="I23" s="1"/>
    </row>
    <row r="24" spans="1:9" x14ac:dyDescent="0.25">
      <c r="A24" s="1"/>
      <c r="B24" s="139" t="s">
        <v>72</v>
      </c>
      <c r="C24" s="140"/>
      <c r="D24" s="140"/>
      <c r="E24" s="140"/>
      <c r="F24" s="141"/>
      <c r="G24" s="70">
        <v>7344752.1915702559</v>
      </c>
      <c r="H24" s="14" t="s">
        <v>3</v>
      </c>
      <c r="I24" s="1"/>
    </row>
    <row r="25" spans="1:9" x14ac:dyDescent="0.25">
      <c r="A25" s="1"/>
      <c r="B25" s="136" t="s">
        <v>73</v>
      </c>
      <c r="C25" s="137"/>
      <c r="D25" s="137"/>
      <c r="E25" s="137"/>
      <c r="F25" s="138"/>
      <c r="G25" s="70">
        <f>(G23+G24)*'Fane 15. Nøgletal'!C23</f>
        <v>4994063.4455866478</v>
      </c>
      <c r="H25" s="14" t="s">
        <v>3</v>
      </c>
      <c r="I25" s="1"/>
    </row>
    <row r="26" spans="1:9" x14ac:dyDescent="0.25">
      <c r="A26" s="1"/>
      <c r="B26" s="32"/>
      <c r="C26" s="27"/>
      <c r="D26" s="27"/>
      <c r="E26" s="27"/>
      <c r="F26" s="27"/>
      <c r="G26" s="72"/>
      <c r="H26" s="19"/>
      <c r="I26" s="1"/>
    </row>
    <row r="27" spans="1:9" x14ac:dyDescent="0.25">
      <c r="A27" s="1"/>
      <c r="B27" s="1"/>
      <c r="C27" s="1"/>
      <c r="D27" s="1"/>
      <c r="E27" s="1"/>
      <c r="F27" s="1"/>
      <c r="G27" s="73"/>
      <c r="H27" s="1"/>
      <c r="I27" s="1"/>
    </row>
    <row r="28" spans="1:9" x14ac:dyDescent="0.25">
      <c r="A28" s="1"/>
      <c r="B28" s="126" t="s">
        <v>74</v>
      </c>
      <c r="C28" s="127"/>
      <c r="D28" s="127"/>
      <c r="E28" s="127"/>
      <c r="F28" s="127"/>
      <c r="G28" s="135"/>
      <c r="H28" s="128"/>
      <c r="I28" s="1"/>
    </row>
    <row r="29" spans="1:9" x14ac:dyDescent="0.25">
      <c r="A29" s="1"/>
      <c r="B29" s="136" t="s">
        <v>75</v>
      </c>
      <c r="C29" s="137"/>
      <c r="D29" s="137"/>
      <c r="E29" s="137"/>
      <c r="F29" s="138"/>
      <c r="G29" s="70">
        <f>(G23+G24-G25)*(1+'Fane 15. Nøgletal'!C12)</f>
        <v>174219049.82371503</v>
      </c>
      <c r="H29" s="14" t="s">
        <v>3</v>
      </c>
      <c r="I29" s="1"/>
    </row>
    <row r="30" spans="1:9" x14ac:dyDescent="0.25">
      <c r="A30" s="1"/>
      <c r="B30" s="136" t="s">
        <v>139</v>
      </c>
      <c r="C30" s="137"/>
      <c r="D30" s="137"/>
      <c r="E30" s="137"/>
      <c r="F30" s="138"/>
      <c r="G30" s="70">
        <v>3871054.9312696797</v>
      </c>
      <c r="H30" s="14" t="s">
        <v>3</v>
      </c>
      <c r="I30" s="1"/>
    </row>
    <row r="31" spans="1:9" x14ac:dyDescent="0.25">
      <c r="A31" s="1"/>
      <c r="B31" s="136" t="s">
        <v>76</v>
      </c>
      <c r="C31" s="137"/>
      <c r="D31" s="137"/>
      <c r="E31" s="137"/>
      <c r="F31" s="138"/>
      <c r="G31" s="70">
        <f>G29*'Fane 15. Nøgletal'!C23+G30*'Fane 15. Nøgletal'!C24</f>
        <v>5054275.0256034238</v>
      </c>
      <c r="H31" s="14" t="s">
        <v>3</v>
      </c>
      <c r="I31" s="1"/>
    </row>
    <row r="32" spans="1:9" x14ac:dyDescent="0.25">
      <c r="A32" s="1"/>
      <c r="B32" s="32"/>
      <c r="C32" s="27"/>
      <c r="D32" s="27"/>
      <c r="E32" s="27"/>
      <c r="F32" s="27"/>
      <c r="G32" s="72"/>
      <c r="H32" s="19"/>
      <c r="I32" s="1"/>
    </row>
    <row r="33" spans="1:9" x14ac:dyDescent="0.25">
      <c r="A33" s="1"/>
      <c r="B33" s="1"/>
      <c r="C33" s="1"/>
      <c r="D33" s="1"/>
      <c r="E33" s="1"/>
      <c r="F33" s="1"/>
      <c r="G33" s="73"/>
      <c r="H33" s="1"/>
      <c r="I33" s="1"/>
    </row>
    <row r="34" spans="1:9" x14ac:dyDescent="0.25">
      <c r="A34" s="1"/>
      <c r="B34" s="126" t="s">
        <v>165</v>
      </c>
      <c r="C34" s="127"/>
      <c r="D34" s="127"/>
      <c r="E34" s="127"/>
      <c r="F34" s="127"/>
      <c r="G34" s="135"/>
      <c r="H34" s="128"/>
      <c r="I34" s="1"/>
    </row>
    <row r="35" spans="1:9" x14ac:dyDescent="0.25">
      <c r="A35" s="1"/>
      <c r="B35" s="136" t="s">
        <v>78</v>
      </c>
      <c r="C35" s="137"/>
      <c r="D35" s="137"/>
      <c r="E35" s="137"/>
      <c r="F35" s="138"/>
      <c r="G35" s="70">
        <f>(G29+G30-G31)*(1+'Fane 15. Nøgletal'!C14)</f>
        <v>173606847.96748826</v>
      </c>
      <c r="H35" s="14" t="s">
        <v>3</v>
      </c>
      <c r="I35" s="1"/>
    </row>
    <row r="36" spans="1:9" x14ac:dyDescent="0.25">
      <c r="A36" s="1"/>
      <c r="B36" s="136" t="s">
        <v>167</v>
      </c>
      <c r="C36" s="137"/>
      <c r="D36" s="137"/>
      <c r="E36" s="137"/>
      <c r="F36" s="138"/>
      <c r="G36" s="70">
        <v>700885.0437109801</v>
      </c>
      <c r="H36" s="14" t="s">
        <v>3</v>
      </c>
      <c r="I36" s="1"/>
    </row>
    <row r="37" spans="1:9" x14ac:dyDescent="0.25">
      <c r="A37" s="1"/>
      <c r="B37" s="136" t="s">
        <v>166</v>
      </c>
      <c r="C37" s="137"/>
      <c r="D37" s="137"/>
      <c r="E37" s="137"/>
      <c r="F37" s="138"/>
      <c r="G37" s="70">
        <f>(G35+G36)*'Fane 15. Nøgletal'!C25</f>
        <v>2579754.448565749</v>
      </c>
      <c r="H37" s="14" t="s">
        <v>3</v>
      </c>
      <c r="I37" s="1"/>
    </row>
    <row r="38" spans="1:9" x14ac:dyDescent="0.25">
      <c r="A38" s="1"/>
      <c r="B38" s="32"/>
      <c r="C38" s="27"/>
      <c r="D38" s="27"/>
      <c r="E38" s="27"/>
      <c r="F38" s="27"/>
      <c r="G38" s="72"/>
      <c r="H38" s="19"/>
      <c r="I38" s="1"/>
    </row>
    <row r="39" spans="1:9" x14ac:dyDescent="0.25">
      <c r="A39" s="1"/>
      <c r="B39" s="1"/>
      <c r="C39" s="1"/>
      <c r="D39" s="1"/>
      <c r="E39" s="1"/>
      <c r="F39" s="1"/>
      <c r="G39" s="73"/>
      <c r="H39" s="1"/>
      <c r="I39" s="1"/>
    </row>
    <row r="40" spans="1:9" x14ac:dyDescent="0.25">
      <c r="A40" s="1"/>
      <c r="B40" s="126" t="s">
        <v>221</v>
      </c>
      <c r="C40" s="127"/>
      <c r="D40" s="127"/>
      <c r="E40" s="127"/>
      <c r="F40" s="127"/>
      <c r="G40" s="135"/>
      <c r="H40" s="128"/>
      <c r="I40" s="1"/>
    </row>
    <row r="41" spans="1:9" x14ac:dyDescent="0.25">
      <c r="A41" s="1"/>
      <c r="B41" s="136" t="s">
        <v>77</v>
      </c>
      <c r="C41" s="137"/>
      <c r="D41" s="137"/>
      <c r="E41" s="137"/>
      <c r="F41" s="138"/>
      <c r="G41" s="70">
        <f>(G35+G36-G37)*(1+'Fane 15. Nøgletal'!C14)</f>
        <v>172294680.8918902</v>
      </c>
      <c r="H41" s="14" t="s">
        <v>3</v>
      </c>
      <c r="I41" s="1"/>
    </row>
    <row r="42" spans="1:9" x14ac:dyDescent="0.25">
      <c r="A42" s="1"/>
      <c r="B42" s="43" t="s">
        <v>229</v>
      </c>
      <c r="C42" s="86"/>
      <c r="D42" s="86"/>
      <c r="E42" s="86"/>
      <c r="F42" s="87"/>
      <c r="G42" s="74">
        <f>('Fane 2.1. Økonomisk ramme 2023'!C11+'Fane 2.1. Økonomisk ramme 2023'!C13+'Fane 2.1. Økonomisk ramme 2023'!C15)*(1+'Fane 15. Nøgletal'!C15)</f>
        <v>473608.86107959202</v>
      </c>
      <c r="H42" s="14" t="s">
        <v>3</v>
      </c>
      <c r="I42" s="1"/>
    </row>
    <row r="43" spans="1:9" x14ac:dyDescent="0.25">
      <c r="A43" s="1"/>
      <c r="B43" s="136" t="s">
        <v>168</v>
      </c>
      <c r="C43" s="137"/>
      <c r="D43" s="137"/>
      <c r="E43" s="137"/>
      <c r="F43" s="138"/>
      <c r="G43" s="70">
        <f>(G41)*'Fane 15. Nøgletal'!C25+G42*'Fane 15. Nøgletal'!C26</f>
        <v>2549961.2771999752</v>
      </c>
      <c r="H43" s="14" t="s">
        <v>3</v>
      </c>
      <c r="I43" s="1"/>
    </row>
    <row r="44" spans="1:9" x14ac:dyDescent="0.25">
      <c r="A44" s="1"/>
      <c r="B44" s="32"/>
      <c r="C44" s="27"/>
      <c r="D44" s="27"/>
      <c r="E44" s="27"/>
      <c r="F44" s="27"/>
      <c r="G44" s="72"/>
      <c r="H44" s="19"/>
      <c r="I44" s="1"/>
    </row>
    <row r="45" spans="1:9" x14ac:dyDescent="0.25">
      <c r="A45" s="1"/>
      <c r="B45" s="1"/>
      <c r="C45" s="1"/>
      <c r="D45" s="1"/>
      <c r="E45" s="1"/>
      <c r="F45" s="1"/>
      <c r="G45" s="73"/>
      <c r="H45" s="1"/>
      <c r="I45" s="1"/>
    </row>
    <row r="46" spans="1:9" x14ac:dyDescent="0.25">
      <c r="A46" s="1"/>
      <c r="B46" s="1"/>
      <c r="C46" s="1"/>
      <c r="D46" s="1"/>
      <c r="E46" s="1"/>
      <c r="F46" s="1"/>
      <c r="G46" s="73"/>
      <c r="H46" s="1"/>
      <c r="I46" s="1"/>
    </row>
    <row r="47" spans="1:9" x14ac:dyDescent="0.25">
      <c r="A47" s="1"/>
      <c r="B47" s="1"/>
      <c r="C47" s="1"/>
      <c r="D47" s="1"/>
      <c r="E47" s="1"/>
      <c r="F47" s="1"/>
      <c r="G47" s="73"/>
      <c r="H47" s="1"/>
      <c r="I47" s="1"/>
    </row>
    <row r="48" spans="1:9" x14ac:dyDescent="0.25">
      <c r="A48" s="1"/>
      <c r="B48" s="1"/>
      <c r="C48" s="1"/>
      <c r="D48" s="1"/>
      <c r="E48" s="1"/>
      <c r="F48" s="1"/>
      <c r="G48" s="73"/>
      <c r="H48" s="1"/>
      <c r="I48" s="1"/>
    </row>
    <row r="49" spans="1:9" x14ac:dyDescent="0.25">
      <c r="A49" s="1"/>
      <c r="B49" s="1"/>
      <c r="C49" s="1"/>
      <c r="D49" s="1"/>
      <c r="E49" s="1"/>
      <c r="F49" s="1"/>
      <c r="G49" s="73"/>
      <c r="H49" s="1"/>
      <c r="I49" s="1"/>
    </row>
    <row r="50" spans="1:9" x14ac:dyDescent="0.25">
      <c r="A50" s="1"/>
      <c r="B50" s="1"/>
      <c r="C50" s="1"/>
      <c r="D50" s="1"/>
      <c r="E50" s="1"/>
      <c r="F50" s="1"/>
      <c r="G50" s="73"/>
      <c r="H50" s="1"/>
      <c r="I50" s="1"/>
    </row>
    <row r="51" spans="1:9" x14ac:dyDescent="0.25">
      <c r="A51" s="1"/>
      <c r="B51" s="1"/>
      <c r="C51" s="1"/>
      <c r="D51" s="1"/>
      <c r="E51" s="1"/>
      <c r="F51" s="1"/>
      <c r="G51" s="73"/>
      <c r="H51" s="1"/>
      <c r="I51" s="1"/>
    </row>
    <row r="52" spans="1:9" x14ac:dyDescent="0.25">
      <c r="A52" s="1"/>
      <c r="B52" s="126" t="s">
        <v>242</v>
      </c>
      <c r="C52" s="127"/>
      <c r="D52" s="127"/>
      <c r="E52" s="127"/>
      <c r="F52" s="127"/>
      <c r="G52" s="135"/>
      <c r="H52" s="128"/>
      <c r="I52" s="1"/>
    </row>
    <row r="53" spans="1:9" x14ac:dyDescent="0.25">
      <c r="A53" s="1"/>
      <c r="B53" s="136" t="s">
        <v>140</v>
      </c>
      <c r="C53" s="137"/>
      <c r="D53" s="137"/>
      <c r="E53" s="137"/>
      <c r="F53" s="138"/>
      <c r="G53" s="70">
        <f>(G41+G42-G43)*(1+'Fane 15. Nøgletal'!C15)</f>
        <v>176278100.96950725</v>
      </c>
      <c r="H53" s="14" t="s">
        <v>3</v>
      </c>
      <c r="I53" s="1"/>
    </row>
    <row r="54" spans="1:9" x14ac:dyDescent="0.25">
      <c r="A54" s="1"/>
      <c r="B54" s="136" t="s">
        <v>141</v>
      </c>
      <c r="C54" s="137"/>
      <c r="D54" s="137"/>
      <c r="E54" s="137"/>
      <c r="F54" s="138"/>
      <c r="G54" s="70">
        <f>(G53)*'Fane 15. Nøgletal'!C26</f>
        <v>0</v>
      </c>
      <c r="H54" s="14" t="s">
        <v>3</v>
      </c>
      <c r="I54" s="1"/>
    </row>
    <row r="55" spans="1:9" x14ac:dyDescent="0.25">
      <c r="A55" s="1"/>
      <c r="B55" s="32"/>
      <c r="C55" s="27"/>
      <c r="D55" s="27"/>
      <c r="E55" s="27"/>
      <c r="F55" s="27"/>
      <c r="G55" s="72"/>
      <c r="H55" s="19"/>
      <c r="I55" s="1"/>
    </row>
    <row r="56" spans="1:9" x14ac:dyDescent="0.25">
      <c r="A56" s="1"/>
      <c r="B56" s="1"/>
      <c r="C56" s="1"/>
      <c r="D56" s="1"/>
      <c r="E56" s="1"/>
      <c r="F56" s="1"/>
      <c r="G56" s="73"/>
      <c r="H56" s="1"/>
      <c r="I56" s="1"/>
    </row>
    <row r="57" spans="1:9" x14ac:dyDescent="0.25">
      <c r="A57" s="1"/>
      <c r="B57" s="126" t="s">
        <v>153</v>
      </c>
      <c r="C57" s="127"/>
      <c r="D57" s="127"/>
      <c r="E57" s="127"/>
      <c r="F57" s="127"/>
      <c r="G57" s="135"/>
      <c r="H57" s="128"/>
      <c r="I57" s="1"/>
    </row>
    <row r="58" spans="1:9" x14ac:dyDescent="0.25">
      <c r="A58" s="1"/>
      <c r="B58" s="136" t="s">
        <v>173</v>
      </c>
      <c r="C58" s="137"/>
      <c r="D58" s="137"/>
      <c r="E58" s="137"/>
      <c r="F58" s="138"/>
      <c r="G58" s="70">
        <f>(G53-G54)*(1+'Fane 15. Nøgletal'!C15)</f>
        <v>182553601.36402172</v>
      </c>
      <c r="H58" s="14" t="s">
        <v>3</v>
      </c>
      <c r="I58" s="1"/>
    </row>
    <row r="59" spans="1:9" x14ac:dyDescent="0.25">
      <c r="A59" s="1"/>
      <c r="B59" s="136" t="s">
        <v>174</v>
      </c>
      <c r="C59" s="137"/>
      <c r="D59" s="137"/>
      <c r="E59" s="137"/>
      <c r="F59" s="138"/>
      <c r="G59" s="70">
        <f>(G58)*'Fane 15. Nøgletal'!C26</f>
        <v>0</v>
      </c>
      <c r="H59" s="14" t="s">
        <v>3</v>
      </c>
      <c r="I59" s="1"/>
    </row>
    <row r="60" spans="1:9" x14ac:dyDescent="0.25">
      <c r="A60" s="1"/>
      <c r="B60" s="32"/>
      <c r="C60" s="27"/>
      <c r="D60" s="27"/>
      <c r="E60" s="27"/>
      <c r="F60" s="27"/>
      <c r="G60" s="72"/>
      <c r="H60" s="19"/>
      <c r="I60" s="1"/>
    </row>
    <row r="61" spans="1:9" x14ac:dyDescent="0.25">
      <c r="A61" s="1"/>
      <c r="B61" s="1"/>
      <c r="C61" s="1"/>
      <c r="D61" s="1"/>
      <c r="E61" s="1"/>
      <c r="F61" s="1"/>
      <c r="G61" s="73"/>
      <c r="H61" s="1"/>
      <c r="I61" s="1"/>
    </row>
    <row r="62" spans="1:9" x14ac:dyDescent="0.25">
      <c r="A62" s="1"/>
      <c r="B62" s="126" t="s">
        <v>196</v>
      </c>
      <c r="C62" s="127"/>
      <c r="D62" s="127"/>
      <c r="E62" s="127"/>
      <c r="F62" s="127"/>
      <c r="G62" s="135"/>
      <c r="H62" s="128"/>
      <c r="I62" s="1"/>
    </row>
    <row r="63" spans="1:9" x14ac:dyDescent="0.25">
      <c r="A63" s="1"/>
      <c r="B63" s="136" t="s">
        <v>197</v>
      </c>
      <c r="C63" s="137"/>
      <c r="D63" s="137"/>
      <c r="E63" s="137"/>
      <c r="F63" s="138"/>
      <c r="G63" s="70">
        <f>(G58-G59)*(1+'Fane 15. Nøgletal'!C15)</f>
        <v>189052509.5725809</v>
      </c>
      <c r="H63" s="14" t="s">
        <v>3</v>
      </c>
      <c r="I63" s="1"/>
    </row>
    <row r="64" spans="1:9" x14ac:dyDescent="0.25">
      <c r="A64" s="1"/>
      <c r="B64" s="136" t="s">
        <v>198</v>
      </c>
      <c r="C64" s="137"/>
      <c r="D64" s="137"/>
      <c r="E64" s="137"/>
      <c r="F64" s="138"/>
      <c r="G64" s="70">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DNnv/j7q5NZl6Nm4jdA4w7QeAa4W+c7U6PWzNx080PDVA80mJnlXLoHV72ytyTyT4bF7l8N5UBoXXiq7NmhiYQ==" saltValue="qaDo1ku559ZdYS8Izm0bv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8" t="s">
        <v>88</v>
      </c>
      <c r="C3" s="118"/>
      <c r="D3" s="118"/>
      <c r="E3" s="118"/>
      <c r="F3" s="118"/>
      <c r="G3" s="118"/>
      <c r="H3" s="1"/>
    </row>
    <row r="4" spans="1:8" ht="15" customHeight="1" x14ac:dyDescent="0.25">
      <c r="A4" s="1"/>
      <c r="B4" s="118"/>
      <c r="C4" s="118"/>
      <c r="D4" s="118"/>
      <c r="E4" s="118"/>
      <c r="F4" s="118"/>
      <c r="G4" s="11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6" t="s">
        <v>10</v>
      </c>
      <c r="C8" s="127"/>
      <c r="D8" s="127"/>
      <c r="E8" s="127"/>
      <c r="F8" s="127"/>
      <c r="G8" s="127"/>
      <c r="H8" s="1"/>
    </row>
    <row r="9" spans="1:8" x14ac:dyDescent="0.25">
      <c r="A9" s="1"/>
      <c r="B9" s="136" t="s">
        <v>154</v>
      </c>
      <c r="C9" s="137"/>
      <c r="D9" s="137"/>
      <c r="E9" s="137"/>
      <c r="F9" s="138"/>
      <c r="G9" s="35">
        <v>0.02</v>
      </c>
      <c r="H9" s="1"/>
    </row>
    <row r="10" spans="1:8" x14ac:dyDescent="0.25">
      <c r="A10" s="1"/>
      <c r="B10" s="32"/>
      <c r="C10" s="27"/>
      <c r="D10" s="27"/>
      <c r="E10" s="27"/>
      <c r="F10" s="27"/>
      <c r="G10" s="27"/>
      <c r="H10" s="1"/>
    </row>
    <row r="11" spans="1:8" ht="29.25" customHeight="1" x14ac:dyDescent="0.25">
      <c r="A11" s="1"/>
      <c r="B11" s="147" t="s">
        <v>236</v>
      </c>
      <c r="C11" s="148"/>
      <c r="D11" s="148"/>
      <c r="E11" s="148"/>
      <c r="F11" s="148"/>
      <c r="G11" s="148"/>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okmg/zGj46UG8p/I4mdtYHmbt8gQqkVFG0d7qRKv/CtBJrunT1KHlaUdF2YY3pB5oVBgX7QZ95OU1Rh4kgLtrw==" saltValue="uLmEUXoeZIiitUXjGa7zk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2023-11-29T17:22:55Z</dcterms:modified>
</cp:coreProperties>
</file>