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Solrød Vandværk a.m.b.a. (V171)\ØR2025\"/>
    </mc:Choice>
  </mc:AlternateContent>
  <xr:revisionPtr revIDLastSave="0" documentId="13_ncr:1_{A23B6956-628D-45FA-B2C0-FFD0CF9E90C5}" xr6:coauthVersionLast="36" xr6:coauthVersionMax="36" xr10:uidLastSave="{00000000-0000-0000-0000-000000000000}"/>
  <bookViews>
    <workbookView xWindow="3105" yWindow="990" windowWidth="12735" windowHeight="4620" tabRatio="872" activeTab="1"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9" i="2" l="1"/>
  <c r="C24" i="16"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<sst xmlns="http://schemas.openxmlformats.org/spreadsheetml/2006/main" count="335" uniqueCount="145">
  <si>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</si>
  <si>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</si>
  <si>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</si>
  <si>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</si>
  <si>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</si>
  <si>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</si>
  <si>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</si>
  <si>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</si>
  <si>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</si>
  <si>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</si>
  <si>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</si>
  <si>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</si>
  <si>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</si>
  <si>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</si>
  <si>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</si>
  <si>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</si>
  <si>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</si>
  <si>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</si>
  <si>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</si>
  <si>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</si>
  <si>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</si>
  <si>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</si>
  <si>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</si>
  <si>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</si>
  <si>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</si>
  <si>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</si>
  <si>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</si>
  <si>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</si>
  <si>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</si>
  <si>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</si>
  <si>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</si>
  <si>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</si>
  <si>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</si>
  <si>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</si>
  <si>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</si>
  <si>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</si>
  <si>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</si>
  <si>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</si>
  <si>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</si>
  <si>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</si>
  <si>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</si>
  <si>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</si>
  <si>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</si>
  <si>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</si>
  <si>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</si>
  <si>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</si>
  <si>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</si>
  <si>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</si>
  <si>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</si>
  <si>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</si>
  <si>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</si>
  <si>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</si>
  <si>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</si>
  <si>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</si>
  <si>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</si>
  <si>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</si>
  <si>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</si>
  <si>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</si>
  <si>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</si>
  <si>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</si>
  <si>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</si>
  <si>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</si>
  <si>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</si>
  <si>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</si>
  <si>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</si>
  <si>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</si>
  <si>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</si>
  <si>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</si>
  <si>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</si>
  <si>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</si>
  <si>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</si>
  <si>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</si>
  <si>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</si>
  <si>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</si>
  <si>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</si>
  <si>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</si>
  <si>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</si>
  <si>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</si>
  <si>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</si>
  <si>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</si>
  <si>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</si>
  <si>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</si>
  <si>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</si>
  <si>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</si>
  <si>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</si>
  <si>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</si>
  <si>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</si>
  <si>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</si>
  <si>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</si>
  <si>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</si>
  <si>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</si>
  <si>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</si>
  <si>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</si>
  <si>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</si>
  <si>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</si>
  <si>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</si>
  <si>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</si>
  <si>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</si>
  <si>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</si>
  <si>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</si>
  <si>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</si>
  <si>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</si>
  <si>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</si>
  <si>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</si>
  <si>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</si>
  <si>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</si>
  <si>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</si>
  <si>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</si>
  <si>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</si>
  <si>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</si>
  <si>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</si>
  <si>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</si>
  <si>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</si>
  <si>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</si>
  <si>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</si>
  <si>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</si>
  <si>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</si>
  <si>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</si>
  <si>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</si>
  <si>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</si>
  <si>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</si>
  <si>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</si>
  <si>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</si>
  <si>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</si>
  <si>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</si>
  <si>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</si>
  <si>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</si>
  <si>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</si>
  <si>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</si>
  <si>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</si>
  <si>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</si>
  <si>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</si>
  <si>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</si>
  <si>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</si>
  <si>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</si>
  <si>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</si>
  <si>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</si>
  <si>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</si>
  <si>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</si>
  <si>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</si>
  <si>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</si>
  <si>
    <t>Afgift for ledningsført vand</t>
  </si>
  <si>
    <t>Afgift til Forsyningssekretariatet</t>
  </si>
  <si>
    <t>Antenneanlæg</t>
  </si>
  <si>
    <t>Meromkostninger til etablering af Carix® blødgøringsanlæg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</si>
</sst>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opLeftCell="C1" zoomScaleNormal="100" workbookViewId="0">
      <selection activeCell="C23" sqref="C23:F23"/>
    </sheetView>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election activeCell="E12" sqref="C12:E12"/>
    </sheetView>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t="s">
        <v>143</v>
      </c>
      <c r="C11" s="18">
        <v>65003</v>
      </c>
      <c r="D11" s="12" t="s">
        <v>3</v>
      </c>
      <c r="E11" s="8">
        <v>72307</v>
      </c>
      <c r="F11" s="12" t="s">
        <v>3</v>
      </c>
      <c r="G11" s="1"/>
    </row>
    <row r="12" spans="1:7" x14ac:dyDescent="0.25">
      <c r="A12" s="1"/>
      <c r="B12" s="19" t="s">
        <v>144</v>
      </c>
      <c r="C12" s="18">
        <v>670143</v>
      </c>
      <c r="D12" s="12" t="s">
        <v>3</v>
      </c>
      <c r="E12" s="8">
        <v>2710789</v>
      </c>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735146</v>
      </c>
      <c r="D16" s="11" t="s">
        <v>3</v>
      </c>
      <c r="E16" s="10">
        <f>SUM(E10:E15)</f>
        <v>2783096</v>
      </c>
      <c r="F16" s="11" t="s">
        <v>3</v>
      </c>
      <c r="G16" s="1"/>
    </row>
    <row r="17" spans="1:7" x14ac:dyDescent="0.25">
      <c r="A17" s="1"/>
      <c r="B17" s="65" t="s">
        <v>106</v>
      </c>
      <c r="C17" s="10">
        <f>C16*(1+'Fane 11. Nøgletal'!C11)</f>
        <v>783886.17980000004</v>
      </c>
      <c r="D17" s="11" t="s">
        <v>3</v>
      </c>
      <c r="E17" s="10">
        <f>E16*(1+'Fane 11. Nøgletal'!C11)</f>
        <v>2967615.2648</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election activeCell="C10" sqref="C10:E10"/>
    </sheetView>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t="s">
        <v>144</v>
      </c>
      <c r="C10" s="18">
        <v>579858</v>
      </c>
      <c r="D10" s="12" t="s">
        <v>3</v>
      </c>
      <c r="E10" s="18">
        <v>1773727</v>
      </c>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579858</v>
      </c>
      <c r="D15" s="11" t="s">
        <v>3</v>
      </c>
      <c r="E15" s="10">
        <f>SUM(E10:E14)</f>
        <v>1773727</v>
      </c>
      <c r="F15" s="11" t="s">
        <v>3</v>
      </c>
      <c r="G15" s="1"/>
    </row>
    <row r="16" spans="1:7" x14ac:dyDescent="0.25">
      <c r="A16" s="1"/>
      <c r="B16" s="65" t="s">
        <v>108</v>
      </c>
      <c r="C16" s="10">
        <f>C15*(1+'Fane 11. Nøgletal'!C11)^2</f>
        <v>659296.04681202001</v>
      </c>
      <c r="D16" s="11" t="s">
        <v>3</v>
      </c>
      <c r="E16" s="10">
        <f>E15*(1+'Fane 11. Nøgletal'!C11)^2</f>
        <v>2016719.9542366301</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139</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tabSelected="1" zoomScaleNormal="100" workbookViewId="0">
      <selection activeCell="C10" sqref="C10"/>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12162252.756805835</v>
      </c>
      <c r="D9" s="44" t="s">
        <v>3</v>
      </c>
      <c r="E9" s="1"/>
    </row>
    <row r="10" spans="1:5" ht="17.100000000000001" customHeight="1" x14ac:dyDescent="0.25">
      <c r="A10" s="1"/>
      <c r="B10" s="22" t="s">
        <v>42</v>
      </c>
      <c r="C10" s="7">
        <f>'Fane 8.1. Varige tillæg'!C17+'Fane 8.1. Varige tillæg'!E17</f>
        <v>3751501.4446</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1055081.9035532067</v>
      </c>
      <c r="D13" s="44" t="s">
        <v>3</v>
      </c>
      <c r="E13" s="1"/>
    </row>
    <row r="14" spans="1:5" ht="17.100000000000001" customHeight="1" x14ac:dyDescent="0.25">
      <c r="A14" s="1"/>
      <c r="B14" s="22" t="s">
        <v>36</v>
      </c>
      <c r="C14" s="8">
        <f>-SUM(C9,C10:C13)*'Fane 11. Nøgletal'!C16</f>
        <v>-288470.21378430369</v>
      </c>
      <c r="D14" s="44" t="s">
        <v>3</v>
      </c>
      <c r="E14" s="1"/>
    </row>
    <row r="15" spans="1:5" ht="15" customHeight="1" x14ac:dyDescent="0.25">
      <c r="A15" s="1"/>
      <c r="B15" s="41" t="s">
        <v>19</v>
      </c>
      <c r="C15" s="9">
        <f>SUM(C9,C10:C14)</f>
        <v>16680365.891174737</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5219163.8227595901</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659296.04681202001</v>
      </c>
      <c r="D19" s="44" t="s">
        <v>3</v>
      </c>
      <c r="E19" s="1"/>
    </row>
    <row r="20" spans="1:5" x14ac:dyDescent="0.25">
      <c r="A20" s="1"/>
      <c r="B20" s="22" t="s">
        <v>30</v>
      </c>
      <c r="C20" s="8">
        <f>'Fane 8.2. Engangstillæg'!E16</f>
        <v>2016719.9542366301</v>
      </c>
      <c r="D20" s="44" t="s">
        <v>3</v>
      </c>
      <c r="E20" s="1"/>
    </row>
    <row r="21" spans="1:5" x14ac:dyDescent="0.25">
      <c r="A21" s="1"/>
      <c r="B21" s="22" t="s">
        <v>61</v>
      </c>
      <c r="C21" s="8">
        <f>-SUM(C19:C20)*'Fane 11. Nøgletal'!C16</f>
        <v>-45492.272017827054</v>
      </c>
      <c r="D21" s="44" t="s">
        <v>3</v>
      </c>
      <c r="E21" s="1"/>
    </row>
    <row r="22" spans="1:5" ht="15" customHeight="1" x14ac:dyDescent="0.25">
      <c r="A22" s="1"/>
      <c r="B22" s="41" t="s">
        <v>33</v>
      </c>
      <c r="C22" s="9">
        <f>SUM(C19:C21)</f>
        <v>2630523.7290308229</v>
      </c>
      <c r="D22" s="47" t="s">
        <v>3</v>
      </c>
      <c r="E22" s="1"/>
    </row>
    <row r="23" spans="1:5" x14ac:dyDescent="0.25">
      <c r="A23" s="1"/>
      <c r="B23" s="46" t="s">
        <v>50</v>
      </c>
      <c r="C23" s="46"/>
      <c r="D23" s="46"/>
      <c r="E23" s="1"/>
    </row>
    <row r="24" spans="1:5" x14ac:dyDescent="0.25">
      <c r="A24" s="1"/>
      <c r="B24" s="41" t="s">
        <v>51</v>
      </c>
      <c r="C24" s="9">
        <f>'Fane 5. Kontrol af ØR2023'!C30</f>
        <v>-243878.23839551955</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24286175.20456963</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16680365.891174737</v>
      </c>
      <c r="D9" s="44" t="s">
        <v>3</v>
      </c>
      <c r="E9" s="1"/>
    </row>
    <row r="10" spans="1:5" ht="15" customHeight="1" x14ac:dyDescent="0.25">
      <c r="A10" s="1"/>
      <c r="B10" s="24" t="s">
        <v>17</v>
      </c>
      <c r="C10" s="7">
        <f>C9*'Fane 11. Nøgletal'!C11</f>
        <v>1105908.2585848852</v>
      </c>
      <c r="D10" s="44" t="s">
        <v>3</v>
      </c>
      <c r="E10" s="1"/>
    </row>
    <row r="11" spans="1:5" ht="15" customHeight="1" x14ac:dyDescent="0.25">
      <c r="A11" s="1"/>
      <c r="B11" s="24" t="s">
        <v>36</v>
      </c>
      <c r="C11" s="7">
        <f>-SUM(C9:C10)*'Fane 11. Nøgletal'!C16</f>
        <v>-302366.66054591362</v>
      </c>
      <c r="D11" s="44" t="s">
        <v>3</v>
      </c>
      <c r="E11" s="1"/>
    </row>
    <row r="12" spans="1:5" ht="15" customHeight="1" x14ac:dyDescent="0.25">
      <c r="A12" s="1"/>
      <c r="B12" s="51" t="s">
        <v>19</v>
      </c>
      <c r="C12" s="9">
        <f>SUM(C9:C11)</f>
        <v>17483907.489213709</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5565194.3842085507</v>
      </c>
      <c r="D14" s="47" t="s">
        <v>3</v>
      </c>
      <c r="E14" s="1"/>
    </row>
    <row r="15" spans="1:5" x14ac:dyDescent="0.25">
      <c r="A15" s="1"/>
      <c r="B15" s="46" t="s">
        <v>50</v>
      </c>
      <c r="C15" s="46"/>
      <c r="D15" s="46"/>
      <c r="E15" s="1"/>
    </row>
    <row r="16" spans="1:5" x14ac:dyDescent="0.25">
      <c r="A16" s="1"/>
      <c r="B16" s="47" t="s">
        <v>51</v>
      </c>
      <c r="C16" s="9">
        <f>'Fane 5. Kontrol af ØR2023'!C30</f>
        <v>-243878.23839551955</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22805223.635026738</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17483907.489213709</v>
      </c>
      <c r="D9" s="44" t="s">
        <v>3</v>
      </c>
      <c r="E9" s="1"/>
    </row>
    <row r="10" spans="1:5" ht="15" customHeight="1" x14ac:dyDescent="0.25">
      <c r="A10" s="1"/>
      <c r="B10" s="24" t="s">
        <v>17</v>
      </c>
      <c r="C10" s="7">
        <f>C9*'Fane 11. Nøgletal'!C11</f>
        <v>1159183.0665348689</v>
      </c>
      <c r="D10" s="44" t="s">
        <v>3</v>
      </c>
      <c r="E10" s="1"/>
    </row>
    <row r="11" spans="1:5" ht="15" customHeight="1" x14ac:dyDescent="0.25">
      <c r="A11" s="1"/>
      <c r="B11" s="24" t="s">
        <v>36</v>
      </c>
      <c r="C11" s="7">
        <f>-SUM(C9:C10)*'Fane 11. Nøgletal'!C16</f>
        <v>-316932.53944772587</v>
      </c>
      <c r="D11" s="44" t="s">
        <v>3</v>
      </c>
      <c r="E11" s="1"/>
    </row>
    <row r="12" spans="1:5" x14ac:dyDescent="0.25">
      <c r="A12" s="1"/>
      <c r="B12" s="51" t="s">
        <v>19</v>
      </c>
      <c r="C12" s="9">
        <f>SUM(C9:C11)</f>
        <v>18326158.016300853</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5934166.7718815776</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24260324.78818243</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18326158.016300853</v>
      </c>
      <c r="D9" s="44" t="s">
        <v>3</v>
      </c>
      <c r="E9" s="1"/>
    </row>
    <row r="10" spans="1:5" ht="15" customHeight="1" x14ac:dyDescent="0.25">
      <c r="A10" s="1"/>
      <c r="B10" s="24" t="s">
        <v>17</v>
      </c>
      <c r="C10" s="7">
        <f>C9*'Fane 11. Nøgletal'!C11</f>
        <v>1215024.2764807465</v>
      </c>
      <c r="D10" s="44" t="s">
        <v>3</v>
      </c>
      <c r="E10" s="1"/>
    </row>
    <row r="11" spans="1:5" ht="15" customHeight="1" x14ac:dyDescent="0.25">
      <c r="A11" s="1"/>
      <c r="B11" s="24" t="s">
        <v>36</v>
      </c>
      <c r="C11" s="7">
        <f>-SUM(C9:C10)*'Fane 11. Nøgletal'!C16</f>
        <v>-332200.09897728718</v>
      </c>
      <c r="D11" s="44" t="s">
        <v>3</v>
      </c>
      <c r="E11" s="1"/>
    </row>
    <row r="12" spans="1:5" x14ac:dyDescent="0.25">
      <c r="A12" s="1"/>
      <c r="B12" s="51" t="s">
        <v>19</v>
      </c>
      <c r="C12" s="9">
        <f>SUM(C9:C11)</f>
        <v>19208982.193804312</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6327602.0288573271</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25536584.22266164</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election activeCell="C38" sqref="C38"/>
    </sheetView>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10306813.794498323</v>
      </c>
      <c r="D9" s="44" t="s">
        <v>3</v>
      </c>
      <c r="E9" s="1"/>
    </row>
    <row r="10" spans="1:5" x14ac:dyDescent="0.25">
      <c r="A10" s="1"/>
      <c r="B10" s="22" t="s">
        <v>42</v>
      </c>
      <c r="C10" s="7">
        <v>1571845.2679999999</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493927.66873854026</v>
      </c>
      <c r="D13" s="44" t="s">
        <v>3</v>
      </c>
      <c r="E13" s="1"/>
    </row>
    <row r="14" spans="1:5" x14ac:dyDescent="0.25">
      <c r="A14" s="1"/>
      <c r="B14" s="22" t="s">
        <v>36</v>
      </c>
      <c r="C14" s="8">
        <v>-210333.97443102667</v>
      </c>
      <c r="D14" s="44" t="s">
        <v>3</v>
      </c>
      <c r="E14" s="1"/>
    </row>
    <row r="15" spans="1:5" x14ac:dyDescent="0.25">
      <c r="A15" s="1"/>
      <c r="B15" s="41" t="s">
        <v>19</v>
      </c>
      <c r="C15" s="9">
        <v>12162252.756805835</v>
      </c>
      <c r="D15" s="47" t="s">
        <v>3</v>
      </c>
      <c r="E15" s="1"/>
    </row>
    <row r="16" spans="1:5" x14ac:dyDescent="0.25">
      <c r="A16" s="1"/>
      <c r="B16" s="46" t="s">
        <v>11</v>
      </c>
      <c r="C16" s="46"/>
      <c r="D16" s="46"/>
      <c r="E16" s="1"/>
    </row>
    <row r="17" spans="1:5" x14ac:dyDescent="0.25">
      <c r="A17" s="1"/>
      <c r="B17" s="47" t="s">
        <v>11</v>
      </c>
      <c r="C17" s="9">
        <v>5773918.52395456</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1682316.6728838398</v>
      </c>
      <c r="D20" s="44" t="s">
        <v>3</v>
      </c>
      <c r="E20" s="1"/>
    </row>
    <row r="21" spans="1:5" x14ac:dyDescent="0.25">
      <c r="A21" s="1"/>
      <c r="B21" s="22" t="s">
        <v>61</v>
      </c>
      <c r="C21" s="8">
        <v>-28599.383439025278</v>
      </c>
      <c r="D21" s="44" t="s">
        <v>3</v>
      </c>
      <c r="E21" s="1"/>
    </row>
    <row r="22" spans="1:5" x14ac:dyDescent="0.25">
      <c r="A22" s="1"/>
      <c r="B22" s="41" t="s">
        <v>33</v>
      </c>
      <c r="C22" s="9">
        <v>1653717.2894448144</v>
      </c>
      <c r="D22" s="47" t="s">
        <v>3</v>
      </c>
      <c r="E22" s="1"/>
    </row>
    <row r="23" spans="1:5" x14ac:dyDescent="0.25">
      <c r="A23" s="1"/>
      <c r="B23" s="46" t="s">
        <v>50</v>
      </c>
      <c r="C23" s="46"/>
      <c r="D23" s="46"/>
      <c r="E23" s="1"/>
    </row>
    <row r="24" spans="1:5" x14ac:dyDescent="0.25">
      <c r="A24" s="1"/>
      <c r="B24" s="41" t="s">
        <v>51</v>
      </c>
      <c r="C24" s="9">
        <v>-1069209.1461528931</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18520679.42405232</v>
      </c>
      <c r="D27" s="11" t="s">
        <v>3</v>
      </c>
      <c r="E27" s="1"/>
    </row>
    <row r="28" spans="1:5" ht="30" customHeight="1" x14ac:dyDescent="0.25">
      <c r="A28" s="1"/>
      <c r="B28" s="85" t="s">
        <v>138</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141</v>
      </c>
      <c r="C10" s="56">
        <v>4574023</v>
      </c>
      <c r="D10" s="12" t="s">
        <v>3</v>
      </c>
      <c r="E10" s="1"/>
    </row>
    <row r="11" spans="1:5" x14ac:dyDescent="0.25">
      <c r="A11" s="1"/>
      <c r="B11" s="55" t="s">
        <v>142</v>
      </c>
      <c r="C11" s="56">
        <v>16288</v>
      </c>
      <c r="D11" s="12" t="s">
        <v>3</v>
      </c>
      <c r="E11" s="1"/>
    </row>
    <row r="12" spans="1:5" x14ac:dyDescent="0.25">
      <c r="A12" s="1"/>
      <c r="B12" s="55"/>
      <c r="C12" s="56"/>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4590311</v>
      </c>
      <c r="D18" s="11" t="s">
        <v>3</v>
      </c>
      <c r="E18" s="1"/>
    </row>
    <row r="19" spans="1:5" x14ac:dyDescent="0.25">
      <c r="A19" s="1"/>
      <c r="B19" s="65" t="s">
        <v>105</v>
      </c>
      <c r="C19" s="10">
        <f>C18*(1+'Fane 11. Nøgletal'!C11)^2</f>
        <v>5219163.8227595901</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-337799.47484794259</v>
      </c>
      <c r="D9" s="12" t="s">
        <v>3</v>
      </c>
      <c r="E9" s="1"/>
    </row>
    <row r="10" spans="1:5" x14ac:dyDescent="0.25">
      <c r="A10" s="1"/>
      <c r="B10" s="49" t="s">
        <v>122</v>
      </c>
      <c r="C10" s="8">
        <v>-487756.47679103911</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-487756.47679103911</v>
      </c>
      <c r="D15" s="12" t="s">
        <v>3</v>
      </c>
      <c r="E15" s="1"/>
    </row>
    <row r="16" spans="1:5" x14ac:dyDescent="0.25">
      <c r="A16" s="1"/>
      <c r="B16" s="49" t="s">
        <v>126</v>
      </c>
      <c r="C16" s="8">
        <f>IF(SUM(C9)&gt;0,SUM(C9),0)</f>
        <v>0</v>
      </c>
      <c r="D16" s="12" t="s">
        <v>3</v>
      </c>
      <c r="E16" s="1"/>
    </row>
    <row r="17" spans="1:5" ht="26.25" x14ac:dyDescent="0.25">
      <c r="A17" s="1"/>
      <c r="B17" s="62" t="s">
        <v>140</v>
      </c>
      <c r="C17" s="54">
        <f>IF(SUM(C15:C16)&gt;0,0,SUM(C15:C16))</f>
        <v>-487756.47679103911</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14328558.94523423</v>
      </c>
      <c r="D21" s="12" t="s">
        <v>3</v>
      </c>
      <c r="E21" s="1"/>
    </row>
    <row r="22" spans="1:5" x14ac:dyDescent="0.25">
      <c r="A22" s="1"/>
      <c r="B22" s="49" t="s">
        <v>129</v>
      </c>
      <c r="C22" s="8">
        <v>13592413</v>
      </c>
      <c r="D22" s="12" t="s">
        <v>3</v>
      </c>
      <c r="E22" s="1"/>
    </row>
    <row r="23" spans="1:5" x14ac:dyDescent="0.25">
      <c r="A23" s="1"/>
      <c r="B23" s="49" t="s">
        <v>24</v>
      </c>
      <c r="C23" s="8">
        <v>0</v>
      </c>
      <c r="D23" s="12" t="s">
        <v>3</v>
      </c>
      <c r="E23" s="1"/>
    </row>
    <row r="24" spans="1:5" x14ac:dyDescent="0.25">
      <c r="A24" s="1"/>
      <c r="B24" s="48" t="s">
        <v>130</v>
      </c>
      <c r="C24" s="54">
        <f>C21-C22-C23</f>
        <v>736145.94523422979</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-487756.47679103911</v>
      </c>
      <c r="D28" s="12" t="s">
        <v>3</v>
      </c>
      <c r="E28" s="1"/>
    </row>
    <row r="29" spans="1:5" x14ac:dyDescent="0.25">
      <c r="A29" s="1"/>
      <c r="B29" s="50" t="s">
        <v>37</v>
      </c>
      <c r="C29" s="8">
        <v>2</v>
      </c>
      <c r="D29" s="12" t="s">
        <v>18</v>
      </c>
      <c r="E29" s="1"/>
    </row>
    <row r="30" spans="1:5" x14ac:dyDescent="0.25">
      <c r="A30" s="1"/>
      <c r="B30" s="48" t="s">
        <v>55</v>
      </c>
      <c r="C30" s="9">
        <f>C28/C29</f>
        <v>-243878.23839551955</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c r="D10" s="8" t="s">
        <v>3</v>
      </c>
      <c r="E10" s="1"/>
    </row>
    <row r="11" spans="1:5" x14ac:dyDescent="0.25">
      <c r="A11" s="1"/>
      <c r="B11" s="45" t="s">
        <v>78</v>
      </c>
      <c r="C11" s="40"/>
      <c r="D11" s="8" t="s">
        <v>3</v>
      </c>
      <c r="E11" s="1"/>
    </row>
    <row r="12" spans="1:5" x14ac:dyDescent="0.25">
      <c r="A12" s="1"/>
      <c r="B12" s="45" t="s">
        <v>79</v>
      </c>
      <c r="C12" s="8"/>
      <c r="D12" s="8" t="s">
        <v>3</v>
      </c>
      <c r="E12" s="1"/>
    </row>
    <row r="13" spans="1:5" x14ac:dyDescent="0.25">
      <c r="A13" s="1"/>
      <c r="B13" s="45" t="s">
        <v>80</v>
      </c>
      <c r="C13" s="8"/>
      <c r="D13" s="8" t="s">
        <v>3</v>
      </c>
      <c r="E13" s="1"/>
    </row>
    <row r="14" spans="1:5" x14ac:dyDescent="0.25">
      <c r="A14" s="1"/>
      <c r="B14" s="45" t="s">
        <v>81</v>
      </c>
      <c r="C14" s="8"/>
      <c r="D14" s="8" t="s">
        <v>3</v>
      </c>
      <c r="E14" s="1"/>
    </row>
    <row r="15" spans="1:5" x14ac:dyDescent="0.25">
      <c r="A15" s="1"/>
      <c r="B15" s="45" t="s">
        <v>82</v>
      </c>
      <c r="C15" s="8"/>
      <c r="D15" s="8" t="s">
        <v>3</v>
      </c>
      <c r="E15" s="1"/>
    </row>
    <row r="16" spans="1:5" x14ac:dyDescent="0.25">
      <c r="A16" s="1"/>
      <c r="B16" s="45" t="s">
        <v>83</v>
      </c>
      <c r="C16" s="8"/>
      <c r="D16" s="8" t="s">
        <v>3</v>
      </c>
      <c r="E16" s="1"/>
    </row>
    <row r="17" spans="1:5" x14ac:dyDescent="0.25">
      <c r="A17" s="1"/>
      <c r="B17" s="45" t="s">
        <v>84</v>
      </c>
      <c r="C17" s="8"/>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2024-10-11T10:42:33Z</dcterms:modified>
</cp:coreProperties>
</file>