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Aarhus Vand AS (V220)\ØR2024\"/>
    </mc:Choice>
  </mc:AlternateContent>
  <xr:revisionPtr revIDLastSave="0" documentId="13_ncr:1_{94F9C9CF-B9E8-496F-97BC-98CB8CA0ED54}"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E23" i="43" l="1"/>
  <c r="E31" i="43" s="1"/>
  <c r="E33" i="43" s="1"/>
  <c r="E27" i="43" l="1"/>
  <c r="C29" i="2" s="1"/>
  <c r="C8" i="2"/>
  <c r="C17" i="22" l="1"/>
  <c r="C17" i="15"/>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C18" i="2"/>
  <c r="C15" i="2"/>
  <c r="G53" i="36" l="1"/>
  <c r="G63" i="30"/>
  <c r="G64" i="30" s="1"/>
  <c r="C11" i="23" s="1"/>
  <c r="C11" i="22"/>
  <c r="C16" i="2"/>
  <c r="C19" i="2" s="1"/>
  <c r="G54" i="36" l="1"/>
  <c r="G58" i="36" s="1"/>
  <c r="G59" i="36" s="1"/>
  <c r="C12" i="22" s="1"/>
  <c r="C32" i="2"/>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<sst xmlns="http://schemas.openxmlformats.org/spreadsheetml/2006/main" count="557" uniqueCount="269">
  <si>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</si>
  <si>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</si>
  <si>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</si>
  <si>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</si>
  <si>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</si>
  <si>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</si>
  <si>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</si>
  <si>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</si>
  <si>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</si>
  <si>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</si>
  <si>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</si>
  <si>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</si>
  <si>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</si>
  <si>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</si>
  <si>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</si>
  <si>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</si>
  <si>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</si>
  <si>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</si>
  <si>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</si>
  <si>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</si>
  <si>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</si>
  <si>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</si>
  <si>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</si>
  <si>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</si>
  <si>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</si>
  <si>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</si>
  <si>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</si>
  <si>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</si>
  <si>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</si>
  <si>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</si>
  <si>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</si>
  <si>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</si>
  <si>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</si>
  <si>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</si>
  <si>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</si>
  <si>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</si>
  <si>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</si>
  <si>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</si>
  <si>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</si>
  <si>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</si>
  <si>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</si>
  <si>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</si>
  <si>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</si>
  <si>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</si>
  <si>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</si>
  <si>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</si>
  <si>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</si>
  <si>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</si>
  <si>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</si>
  <si>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</si>
  <si>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</si>
  <si>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</si>
  <si>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</si>
  <si>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</si>
  <si>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</si>
  <si>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</si>
  <si>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</si>
  <si>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</si>
  <si>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</si>
  <si>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</si>
  <si>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</si>
  <si>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</si>
  <si>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</si>
  <si>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</si>
  <si>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</si>
  <si>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</si>
  <si>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</si>
  <si>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</si>
  <si>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</si>
  <si>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</si>
  <si>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</si>
  <si>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</si>
  <si>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</si>
  <si>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</si>
  <si>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</si>
  <si>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</si>
  <si>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</si>
  <si>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</si>
  <si>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</si>
  <si>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</si>
  <si>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</si>
  <si>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</si>
  <si>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</si>
  <si>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</si>
  <si>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</si>
  <si>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</si>
  <si>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</si>
  <si>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</si>
  <si>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</si>
  <si>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</si>
  <si>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</si>
  <si>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</si>
  <si>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</si>
  <si>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</si>
  <si>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</si>
  <si>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</si>
  <si>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</si>
  <si>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</si>
  <si>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</si>
  <si>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</si>
  <si>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</si>
  <si>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</si>
  <si>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</si>
  <si>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</si>
  <si>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</si>
  <si>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</si>
  <si>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</si>
  <si>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</si>
  <si>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</si>
  <si>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</si>
  <si>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</si>
  <si>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</si>
  <si>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</si>
  <si>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</si>
  <si>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</si>
  <si>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</si>
  <si>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</si>
  <si>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</si>
  <si>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</si>
  <si>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</si>
  <si>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</si>
  <si>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</si>
  <si>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</si>
  <si>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</si>
  <si>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</si>
  <si>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</si>
  <si>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</si>
  <si>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</si>
  <si>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</si>
  <si>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</si>
  <si>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</si>
  <si>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</si>
  <si>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</si>
  <si>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</si>
  <si>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</si>
  <si>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</si>
  <si>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</si>
  <si>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</si>
  <si>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</si>
  <si>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</si>
  <si>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</si>
  <si>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</si>
  <si>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</si>
  <si>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</si>
  <si>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</si>
  <si>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</si>
  <si>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</si>
  <si>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</si>
  <si>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</si>
  <si>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</si>
  <si>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</si>
  <si>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</si>
  <si>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</si>
  <si>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</si>
  <si>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</si>
  <si>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</si>
  <si>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</si>
  <si>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</si>
  <si>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</si>
  <si>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</si>
  <si>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</si>
  <si>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</si>
  <si>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</si>
  <si>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</si>
  <si>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</si>
  <si>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</si>
  <si>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</si>
  <si>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</si>
  <si>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</si>
  <si>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</si>
  <si>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</si>
  <si>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</si>
  <si>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</si>
  <si>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</si>
  <si>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</si>
  <si>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</si>
  <si>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</si>
  <si>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</si>
  <si>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</si>
  <si>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</si>
  <si>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</si>
  <si>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</si>
  <si>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</si>
  <si>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</si>
  <si>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</si>
  <si>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</si>
  <si>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</si>
  <si>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</si>
  <si>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</si>
  <si>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</si>
  <si>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</si>
  <si>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</si>
  <si>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</si>
  <si>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</si>
  <si>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</si>
  <si>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</si>
  <si>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</si>
  <si>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</si>
  <si>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</si>
  <si>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</si>
  <si>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</si>
  <si>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</si>
  <si>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</si>
  <si>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</si>
  <si>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</si>
  <si>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</si>
  <si>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</si>
  <si>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</si>
  <si>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</si>
  <si>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</si>
  <si>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</si>
  <si>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</si>
  <si>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</si>
  <si>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</si>
  <si>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</si>
  <si>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</si>
  <si>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</si>
  <si>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</si>
  <si>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</si>
  <si>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</si>
  <si>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</si>
  <si>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</si>
  <si>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</si>
  <si>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</si>
  <si>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</si>
  <si>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</si>
  <si>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</si>
  <si>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</si>
  <si>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</si>
  <si>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</si>
  <si>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</si>
  <si>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</si>
  <si>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</si>
  <si>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</si>
  <si>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</si>
  <si>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</si>
  <si>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</si>
  <si>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</si>
  <si>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</si>
  <si>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</si>
  <si>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</si>
  <si>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</si>
  <si>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</si>
  <si>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</si>
  <si>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</si>
  <si>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</si>
  <si>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Ejendomsskat</t>
  </si>
  <si>
    <t>Tjenestemandspensioner</t>
  </si>
  <si>
    <t>Erstatninger</t>
  </si>
  <si>
    <t>Vandsamarbejde etableret i medfør af § 52b i vandforsyningsloven</t>
  </si>
  <si>
    <t>Strukturplan, 2022</t>
  </si>
  <si>
    <t>Omlægninger, 2022</t>
  </si>
  <si>
    <t>Udvidelse, 2022</t>
  </si>
  <si>
    <t>PFAS, 2022</t>
  </si>
  <si>
    <t>Sløjfning af DGU Nr: 88.883</t>
  </si>
  <si>
    <t xml:space="preserve">Periodevise driftsomkostninger </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</si>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</sst>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5" fontId="8" fillId="4" borderId="1" xfId="1"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 fontId="8" fillId="8" borderId="1" xfId="1" applyNumberFormat="1" applyFont="1" applyFill="1" applyBorder="1" applyProtection="1"/>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3" t="s">
        <v>235</v>
      </c>
      <c r="E8" s="93"/>
      <c r="F8" s="93"/>
      <c r="G8" s="9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2" t="s">
        <v>5</v>
      </c>
      <c r="E11" s="92"/>
      <c r="F11" s="92"/>
      <c r="G11" s="92"/>
      <c r="H11" s="5"/>
      <c r="I11" s="1"/>
    </row>
    <row r="12" spans="1:9" x14ac:dyDescent="0.25">
      <c r="A12" s="1"/>
      <c r="B12" s="1"/>
      <c r="C12" s="1"/>
      <c r="D12" s="1"/>
      <c r="E12" s="1"/>
      <c r="F12" s="1"/>
      <c r="G12" s="1"/>
      <c r="H12" s="1"/>
      <c r="I12" s="1"/>
    </row>
    <row r="13" spans="1:9" x14ac:dyDescent="0.25">
      <c r="A13" s="1"/>
      <c r="B13" s="1"/>
      <c r="C13" s="6" t="s">
        <v>6</v>
      </c>
      <c r="D13" s="88" t="s">
        <v>162</v>
      </c>
      <c r="E13" s="89"/>
      <c r="F13" s="89"/>
      <c r="G13" s="90"/>
      <c r="H13" s="1"/>
      <c r="I13" s="1"/>
    </row>
    <row r="14" spans="1:9" x14ac:dyDescent="0.25">
      <c r="A14" s="1"/>
      <c r="B14" s="1"/>
      <c r="C14" s="6" t="s">
        <v>14</v>
      </c>
      <c r="D14" s="88" t="s">
        <v>197</v>
      </c>
      <c r="E14" s="89"/>
      <c r="F14" s="89"/>
      <c r="G14" s="90"/>
      <c r="H14" s="1"/>
      <c r="I14" s="1"/>
    </row>
    <row r="15" spans="1:9" x14ac:dyDescent="0.25">
      <c r="A15" s="1"/>
      <c r="B15" s="1"/>
      <c r="C15" s="6" t="s">
        <v>30</v>
      </c>
      <c r="D15" s="88" t="s">
        <v>141</v>
      </c>
      <c r="E15" s="89"/>
      <c r="F15" s="89"/>
      <c r="G15" s="90"/>
      <c r="H15" s="1"/>
      <c r="I15" s="1"/>
    </row>
    <row r="16" spans="1:9" x14ac:dyDescent="0.25">
      <c r="A16" s="1"/>
      <c r="B16" s="1"/>
      <c r="C16" s="6" t="s">
        <v>31</v>
      </c>
      <c r="D16" s="88" t="s">
        <v>194</v>
      </c>
      <c r="E16" s="89"/>
      <c r="F16" s="89"/>
      <c r="G16" s="90"/>
      <c r="H16" s="1"/>
      <c r="I16" s="1"/>
    </row>
    <row r="17" spans="1:9" x14ac:dyDescent="0.25">
      <c r="A17" s="1"/>
      <c r="B17" s="1"/>
      <c r="C17" s="6" t="s">
        <v>102</v>
      </c>
      <c r="D17" s="88" t="s">
        <v>195</v>
      </c>
      <c r="E17" s="89"/>
      <c r="F17" s="89"/>
      <c r="G17" s="90"/>
      <c r="H17" s="1"/>
      <c r="I17" s="1"/>
    </row>
    <row r="18" spans="1:9" x14ac:dyDescent="0.25">
      <c r="A18" s="1"/>
      <c r="B18" s="1"/>
      <c r="C18" s="6" t="s">
        <v>86</v>
      </c>
      <c r="D18" s="94" t="s">
        <v>79</v>
      </c>
      <c r="E18" s="95"/>
      <c r="F18" s="95"/>
      <c r="G18" s="96"/>
      <c r="H18" s="1"/>
      <c r="I18" s="1"/>
    </row>
    <row r="19" spans="1:9" x14ac:dyDescent="0.25">
      <c r="A19" s="1"/>
      <c r="B19" s="1"/>
      <c r="C19" s="6" t="s">
        <v>87</v>
      </c>
      <c r="D19" s="94" t="s">
        <v>80</v>
      </c>
      <c r="E19" s="95"/>
      <c r="F19" s="95"/>
      <c r="G19" s="96"/>
      <c r="H19" s="1"/>
      <c r="I19" s="1"/>
    </row>
    <row r="20" spans="1:9" x14ac:dyDescent="0.25">
      <c r="A20" s="1"/>
      <c r="B20" s="1"/>
      <c r="C20" s="6" t="s">
        <v>7</v>
      </c>
      <c r="D20" s="94" t="s">
        <v>9</v>
      </c>
      <c r="E20" s="95"/>
      <c r="F20" s="95"/>
      <c r="G20" s="96"/>
      <c r="H20" s="1"/>
      <c r="I20" s="1"/>
    </row>
    <row r="21" spans="1:9" x14ac:dyDescent="0.25">
      <c r="A21" s="1"/>
      <c r="B21" s="1"/>
      <c r="C21" s="6" t="s">
        <v>88</v>
      </c>
      <c r="D21" s="85" t="s">
        <v>11</v>
      </c>
      <c r="E21" s="86"/>
      <c r="F21" s="86"/>
      <c r="G21" s="87"/>
      <c r="H21" s="1"/>
      <c r="I21" s="1"/>
    </row>
    <row r="22" spans="1:9" x14ac:dyDescent="0.25">
      <c r="A22" s="1"/>
      <c r="B22" s="1"/>
      <c r="C22" s="6" t="s">
        <v>73</v>
      </c>
      <c r="D22" s="79" t="s">
        <v>196</v>
      </c>
      <c r="E22" s="80"/>
      <c r="F22" s="80"/>
      <c r="G22" s="81"/>
      <c r="H22" s="1"/>
      <c r="I22" s="1"/>
    </row>
    <row r="23" spans="1:9" x14ac:dyDescent="0.25">
      <c r="A23" s="1"/>
      <c r="B23" s="1"/>
      <c r="C23" s="6" t="s">
        <v>8</v>
      </c>
      <c r="D23" s="79" t="s">
        <v>176</v>
      </c>
      <c r="E23" s="80"/>
      <c r="F23" s="80"/>
      <c r="G23" s="81"/>
      <c r="H23" s="1"/>
      <c r="I23" s="1"/>
    </row>
    <row r="24" spans="1:9" x14ac:dyDescent="0.25">
      <c r="A24" s="1"/>
      <c r="B24" s="1"/>
      <c r="C24" s="6" t="s">
        <v>172</v>
      </c>
      <c r="D24" s="79" t="s">
        <v>163</v>
      </c>
      <c r="E24" s="80"/>
      <c r="F24" s="80"/>
      <c r="G24" s="81"/>
      <c r="H24" s="1"/>
      <c r="I24" s="1"/>
    </row>
    <row r="25" spans="1:9" x14ac:dyDescent="0.25">
      <c r="A25" s="1"/>
      <c r="B25" s="1"/>
      <c r="C25" s="6" t="s">
        <v>173</v>
      </c>
      <c r="D25" s="79" t="s">
        <v>74</v>
      </c>
      <c r="E25" s="80"/>
      <c r="F25" s="80"/>
      <c r="G25" s="81"/>
      <c r="H25" s="1"/>
      <c r="I25" s="1"/>
    </row>
    <row r="26" spans="1:9" x14ac:dyDescent="0.25">
      <c r="A26" s="1"/>
      <c r="B26" s="1"/>
      <c r="C26" s="6" t="s">
        <v>174</v>
      </c>
      <c r="D26" s="79" t="s">
        <v>75</v>
      </c>
      <c r="E26" s="80"/>
      <c r="F26" s="80"/>
      <c r="G26" s="81"/>
      <c r="H26" s="1"/>
      <c r="I26" s="1"/>
    </row>
    <row r="27" spans="1:9" x14ac:dyDescent="0.25">
      <c r="A27" s="1"/>
      <c r="B27" s="1"/>
      <c r="C27" s="6" t="s">
        <v>89</v>
      </c>
      <c r="D27" s="79" t="s">
        <v>103</v>
      </c>
      <c r="E27" s="80"/>
      <c r="F27" s="80"/>
      <c r="G27" s="81"/>
      <c r="H27" s="1"/>
      <c r="I27" s="1"/>
    </row>
    <row r="28" spans="1:9" x14ac:dyDescent="0.25">
      <c r="A28" s="1"/>
      <c r="B28" s="1"/>
      <c r="C28" s="6" t="s">
        <v>83</v>
      </c>
      <c r="D28" s="79" t="s">
        <v>32</v>
      </c>
      <c r="E28" s="80"/>
      <c r="F28" s="80"/>
      <c r="G28" s="81"/>
      <c r="H28" s="1"/>
      <c r="I28" s="1"/>
    </row>
    <row r="29" spans="1:9" x14ac:dyDescent="0.25">
      <c r="A29" s="1"/>
      <c r="B29" s="1"/>
      <c r="C29" s="6" t="s">
        <v>175</v>
      </c>
      <c r="D29" s="82" t="s">
        <v>84</v>
      </c>
      <c r="E29" s="83"/>
      <c r="F29" s="83"/>
      <c r="G29" s="8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6cCaM7qPRL2hmfkCiisu2bJV38VlmoR2KhwpEm0X52RGqfdIl+CrY5vQpLaymXg5ZjcwUP9+K/7Ig6KfHS9BkA==" saltValue="IQzucJhIUrWnH4Hd5HGQ9A=="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4"/>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1" t="s">
        <v>226</v>
      </c>
      <c r="C8" s="102"/>
      <c r="D8" s="103"/>
      <c r="E8" s="1"/>
      <c r="F8" s="1"/>
    </row>
    <row r="9" spans="1:6" ht="15" customHeight="1" x14ac:dyDescent="0.25">
      <c r="A9" s="1"/>
      <c r="B9" s="32" t="s">
        <v>28</v>
      </c>
      <c r="C9" s="11" t="s">
        <v>212</v>
      </c>
      <c r="D9" s="11"/>
      <c r="E9" s="1"/>
      <c r="F9" s="1"/>
    </row>
    <row r="10" spans="1:6" ht="15" customHeight="1" x14ac:dyDescent="0.25">
      <c r="A10" s="1"/>
      <c r="B10" s="68" t="s">
        <v>243</v>
      </c>
      <c r="C10" s="9">
        <v>90355109</v>
      </c>
      <c r="D10" s="14" t="s">
        <v>3</v>
      </c>
      <c r="E10" s="1"/>
      <c r="F10" s="1"/>
    </row>
    <row r="11" spans="1:6" x14ac:dyDescent="0.25">
      <c r="A11" s="1"/>
      <c r="B11" s="68" t="s">
        <v>244</v>
      </c>
      <c r="C11" s="9">
        <v>439209</v>
      </c>
      <c r="D11" s="14" t="s">
        <v>3</v>
      </c>
      <c r="E11" s="1"/>
      <c r="F11" s="1"/>
    </row>
    <row r="12" spans="1:6" ht="26.25" x14ac:dyDescent="0.25">
      <c r="A12" s="1"/>
      <c r="B12" s="56" t="s">
        <v>245</v>
      </c>
      <c r="C12" s="9">
        <v>43180</v>
      </c>
      <c r="D12" s="14" t="s">
        <v>3</v>
      </c>
      <c r="E12" s="1"/>
      <c r="F12" s="1"/>
    </row>
    <row r="13" spans="1:6" x14ac:dyDescent="0.25">
      <c r="A13" s="1"/>
      <c r="B13" s="68" t="s">
        <v>246</v>
      </c>
      <c r="C13" s="9">
        <v>624266</v>
      </c>
      <c r="D13" s="14" t="s">
        <v>3</v>
      </c>
      <c r="E13" s="1"/>
      <c r="F13" s="1"/>
    </row>
    <row r="14" spans="1:6" x14ac:dyDescent="0.25">
      <c r="A14" s="1"/>
      <c r="B14" s="68" t="s">
        <v>247</v>
      </c>
      <c r="C14" s="9">
        <v>9703521</v>
      </c>
      <c r="D14" s="14" t="s">
        <v>3</v>
      </c>
      <c r="E14" s="1"/>
      <c r="F14" s="1"/>
    </row>
    <row r="15" spans="1:6" x14ac:dyDescent="0.25">
      <c r="A15" s="1"/>
      <c r="B15" s="68" t="s">
        <v>248</v>
      </c>
      <c r="C15" s="9">
        <v>16736</v>
      </c>
      <c r="D15" s="14" t="s">
        <v>3</v>
      </c>
      <c r="E15" s="1"/>
      <c r="F15" s="1"/>
    </row>
    <row r="16" spans="1:6" ht="26.25" x14ac:dyDescent="0.25">
      <c r="A16" s="1"/>
      <c r="B16" s="56" t="s">
        <v>249</v>
      </c>
      <c r="C16" s="9">
        <v>7703969</v>
      </c>
      <c r="D16" s="14" t="s">
        <v>3</v>
      </c>
      <c r="E16" s="1"/>
      <c r="F16" s="1"/>
    </row>
    <row r="17" spans="1:6" x14ac:dyDescent="0.25">
      <c r="A17" s="1"/>
      <c r="B17" s="68"/>
      <c r="C17" s="9"/>
      <c r="D17" s="14" t="s">
        <v>3</v>
      </c>
      <c r="E17" s="1"/>
      <c r="F17" s="1"/>
    </row>
    <row r="18" spans="1:6" x14ac:dyDescent="0.25">
      <c r="A18" s="1"/>
      <c r="B18" s="68"/>
      <c r="C18" s="9"/>
      <c r="D18" s="14" t="s">
        <v>3</v>
      </c>
      <c r="E18" s="1"/>
      <c r="F18" s="1"/>
    </row>
    <row r="19" spans="1:6" x14ac:dyDescent="0.25">
      <c r="A19" s="1"/>
      <c r="B19" s="53" t="s">
        <v>213</v>
      </c>
      <c r="C19" s="12">
        <f>SUM(C10:C18)</f>
        <v>108885990</v>
      </c>
      <c r="D19" s="13" t="s">
        <v>3</v>
      </c>
      <c r="E19" s="1"/>
      <c r="F19" s="1"/>
    </row>
    <row r="20" spans="1:6" x14ac:dyDescent="0.25">
      <c r="A20" s="1"/>
      <c r="B20" s="53" t="s">
        <v>214</v>
      </c>
      <c r="C20" s="12">
        <f>C19*(1+'Fane 13. Nøgletal'!C16)^2</f>
        <v>127192843.4137536</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4"/>
      <c r="B49" s="44"/>
      <c r="C49" s="44"/>
      <c r="D49" s="44"/>
      <c r="E49" s="44"/>
      <c r="F49" s="44"/>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sheetData>
  <sheetProtection algorithmName="SHA-512" hashValue="jqQzx5Zi/anvHVFuKpEW+A8J4HR9Fdo/HH8pK3gTuiyCq5wfO/U9laK5Ourua4ed+gjTtjFZxQPRZSKMYvaVwA==" saltValue="44Ob/dYCNlXTpcwOtqcBa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33F75-840C-40CB-AC08-F25900B12F26}">
  <dimension ref="A1:G45"/>
  <sheetViews>
    <sheetView showGridLines="0" view="pageLayout" zoomScale="60" zoomScaleNormal="100" zoomScalePageLayoutView="6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8"/>
      <c r="D6" s="59"/>
      <c r="E6" s="64"/>
      <c r="F6" s="64"/>
      <c r="G6" s="1"/>
    </row>
    <row r="7" spans="1:7" x14ac:dyDescent="0.25">
      <c r="A7" s="1"/>
      <c r="B7" s="1"/>
      <c r="C7" s="1"/>
      <c r="D7" s="1"/>
      <c r="E7" s="60"/>
      <c r="F7" s="1"/>
      <c r="G7" s="1"/>
    </row>
    <row r="8" spans="1:7" x14ac:dyDescent="0.25">
      <c r="A8" s="1"/>
      <c r="B8" s="101" t="s">
        <v>256</v>
      </c>
      <c r="C8" s="102"/>
      <c r="D8" s="102"/>
      <c r="E8" s="102"/>
      <c r="F8" s="103"/>
      <c r="G8" s="1"/>
    </row>
    <row r="9" spans="1:7" x14ac:dyDescent="0.25">
      <c r="A9" s="1"/>
      <c r="B9" s="104" t="s">
        <v>257</v>
      </c>
      <c r="C9" s="105"/>
      <c r="D9" s="106"/>
      <c r="E9" s="28">
        <v>-6506036</v>
      </c>
      <c r="F9" s="14" t="s">
        <v>3</v>
      </c>
      <c r="G9" s="1"/>
    </row>
    <row r="10" spans="1:7" x14ac:dyDescent="0.25">
      <c r="A10" s="1"/>
      <c r="B10" s="53"/>
      <c r="C10" s="54"/>
      <c r="D10" s="54"/>
      <c r="E10" s="54"/>
      <c r="F10" s="19"/>
      <c r="G10" s="1"/>
    </row>
    <row r="11" spans="1:7" ht="53.25" customHeight="1" x14ac:dyDescent="0.25">
      <c r="A11" s="1"/>
      <c r="B11" s="119" t="s">
        <v>258</v>
      </c>
      <c r="C11" s="120"/>
      <c r="D11" s="120"/>
      <c r="E11" s="120"/>
      <c r="F11" s="121"/>
      <c r="G11" s="1"/>
    </row>
    <row r="12" spans="1:7" x14ac:dyDescent="0.25">
      <c r="A12" s="1"/>
      <c r="B12" s="1"/>
      <c r="C12" s="1"/>
      <c r="D12" s="1"/>
      <c r="E12" s="1"/>
      <c r="F12" s="1"/>
      <c r="G12" s="1"/>
    </row>
    <row r="13" spans="1:7" x14ac:dyDescent="0.25">
      <c r="A13" s="1"/>
      <c r="B13" s="101" t="s">
        <v>140</v>
      </c>
      <c r="C13" s="102"/>
      <c r="D13" s="102"/>
      <c r="E13" s="102"/>
      <c r="F13" s="103"/>
      <c r="G13" s="1"/>
    </row>
    <row r="14" spans="1:7" x14ac:dyDescent="0.25">
      <c r="A14" s="1"/>
      <c r="B14" s="104" t="s">
        <v>259</v>
      </c>
      <c r="C14" s="105"/>
      <c r="D14" s="106"/>
      <c r="E14" s="9">
        <v>-3253018</v>
      </c>
      <c r="F14" s="14" t="s">
        <v>3</v>
      </c>
      <c r="G14" s="1"/>
    </row>
    <row r="15" spans="1:7" x14ac:dyDescent="0.25">
      <c r="A15" s="1"/>
      <c r="B15" s="104" t="s">
        <v>260</v>
      </c>
      <c r="C15" s="105"/>
      <c r="D15" s="106"/>
      <c r="E15" s="9">
        <v>-3253018</v>
      </c>
      <c r="F15" s="14" t="s">
        <v>3</v>
      </c>
      <c r="G15" s="1"/>
    </row>
    <row r="16" spans="1:7" x14ac:dyDescent="0.25">
      <c r="A16" s="1"/>
      <c r="B16" s="53"/>
      <c r="C16" s="54"/>
      <c r="D16" s="54"/>
      <c r="E16" s="54"/>
      <c r="F16" s="19"/>
      <c r="G16" s="1"/>
    </row>
    <row r="17" spans="1:7" ht="32.25" customHeight="1" x14ac:dyDescent="0.25">
      <c r="A17" s="1"/>
      <c r="B17" s="119" t="s">
        <v>261</v>
      </c>
      <c r="C17" s="120"/>
      <c r="D17" s="120"/>
      <c r="E17" s="120"/>
      <c r="F17" s="121"/>
      <c r="G17" s="1"/>
    </row>
    <row r="18" spans="1:7" x14ac:dyDescent="0.25">
      <c r="A18" s="1"/>
      <c r="B18" s="1"/>
      <c r="C18" s="1"/>
      <c r="D18" s="1"/>
      <c r="E18" s="1"/>
      <c r="F18" s="1"/>
      <c r="G18" s="1"/>
    </row>
    <row r="19" spans="1:7" x14ac:dyDescent="0.25">
      <c r="A19" s="1"/>
      <c r="B19" s="69" t="s">
        <v>262</v>
      </c>
      <c r="C19" s="70"/>
      <c r="D19" s="70"/>
      <c r="E19" s="70"/>
      <c r="F19" s="71"/>
      <c r="G19" s="1"/>
    </row>
    <row r="20" spans="1:7" x14ac:dyDescent="0.25">
      <c r="A20" s="1"/>
      <c r="B20" s="65" t="s">
        <v>263</v>
      </c>
      <c r="C20" s="66"/>
      <c r="D20" s="67"/>
      <c r="E20" s="9">
        <v>267860314</v>
      </c>
      <c r="F20" s="14" t="s">
        <v>3</v>
      </c>
      <c r="G20" s="1"/>
    </row>
    <row r="21" spans="1:7" x14ac:dyDescent="0.25">
      <c r="A21" s="1"/>
      <c r="B21" s="65" t="s">
        <v>264</v>
      </c>
      <c r="C21" s="66"/>
      <c r="D21" s="67"/>
      <c r="E21" s="9">
        <v>264647751</v>
      </c>
      <c r="F21" s="14" t="s">
        <v>3</v>
      </c>
      <c r="G21" s="1"/>
    </row>
    <row r="22" spans="1:7" x14ac:dyDescent="0.25">
      <c r="A22" s="1"/>
      <c r="B22" s="65" t="s">
        <v>29</v>
      </c>
      <c r="C22" s="66"/>
      <c r="D22" s="67"/>
      <c r="E22" s="9">
        <v>0</v>
      </c>
      <c r="F22" s="14" t="s">
        <v>3</v>
      </c>
      <c r="G22" s="1"/>
    </row>
    <row r="23" spans="1:7" x14ac:dyDescent="0.25">
      <c r="A23" s="1"/>
      <c r="B23" s="73" t="s">
        <v>265</v>
      </c>
      <c r="C23" s="74"/>
      <c r="D23" s="75"/>
      <c r="E23" s="10">
        <f>E20-(E21-E22)</f>
        <v>3212563</v>
      </c>
      <c r="F23" s="17" t="s">
        <v>3</v>
      </c>
      <c r="G23" s="1"/>
    </row>
    <row r="24" spans="1:7" x14ac:dyDescent="0.25">
      <c r="A24" s="1"/>
      <c r="B24" s="53"/>
      <c r="C24" s="54"/>
      <c r="D24" s="54"/>
      <c r="E24" s="54"/>
      <c r="F24" s="19"/>
      <c r="G24" s="1"/>
    </row>
    <row r="25" spans="1:7" x14ac:dyDescent="0.25">
      <c r="A25" s="1"/>
      <c r="B25" s="1"/>
      <c r="C25" s="1"/>
      <c r="D25" s="1"/>
      <c r="E25" s="1"/>
      <c r="F25" s="1"/>
      <c r="G25" s="1"/>
    </row>
    <row r="26" spans="1:7" x14ac:dyDescent="0.25">
      <c r="A26" s="1"/>
      <c r="B26" s="101" t="s">
        <v>266</v>
      </c>
      <c r="C26" s="102"/>
      <c r="D26" s="102"/>
      <c r="E26" s="102"/>
      <c r="F26" s="103"/>
      <c r="G26" s="1"/>
    </row>
    <row r="27" spans="1:7" x14ac:dyDescent="0.25">
      <c r="A27" s="1"/>
      <c r="B27" s="129" t="s">
        <v>267</v>
      </c>
      <c r="C27" s="130"/>
      <c r="D27" s="131"/>
      <c r="E27" s="61">
        <f>IF(AND(E15&lt;0,E23&gt;0,ABS(SUM(E14:E15))&lt;E23),ABS(E14),IF(AND(E15&lt;0,E23&gt;0,ABS(SUM(E14:E15))&gt;E23),SUM(E14,E23),0))</f>
        <v>-40455</v>
      </c>
      <c r="F27" s="17" t="s">
        <v>3</v>
      </c>
      <c r="G27" s="1"/>
    </row>
    <row r="28" spans="1:7" x14ac:dyDescent="0.25">
      <c r="A28" s="1"/>
      <c r="B28" s="101"/>
      <c r="C28" s="102"/>
      <c r="D28" s="102"/>
      <c r="E28" s="102"/>
      <c r="F28" s="103"/>
      <c r="G28" s="1"/>
    </row>
    <row r="29" spans="1:7" x14ac:dyDescent="0.25">
      <c r="A29" s="1"/>
      <c r="B29" s="1"/>
      <c r="C29" s="1"/>
      <c r="D29" s="1"/>
      <c r="E29" s="1"/>
      <c r="F29" s="1"/>
      <c r="G29" s="1"/>
    </row>
    <row r="30" spans="1:7" x14ac:dyDescent="0.25">
      <c r="A30" s="1"/>
      <c r="B30" s="101" t="s">
        <v>268</v>
      </c>
      <c r="C30" s="102"/>
      <c r="D30" s="102"/>
      <c r="E30" s="102"/>
      <c r="F30" s="103"/>
      <c r="G30" s="1"/>
    </row>
    <row r="31" spans="1:7" x14ac:dyDescent="0.25">
      <c r="A31" s="1"/>
      <c r="B31" s="122" t="s">
        <v>117</v>
      </c>
      <c r="C31" s="123"/>
      <c r="D31" s="124"/>
      <c r="E31" s="62">
        <f>IF(AND(E9&gt;0,(E9+E23)&gt;0),0,IF(AND(E9&gt;0,(E9+E23)&lt;0),(E9+E23),IF(AND(E9&lt;0,E23&lt;0),E23,0)))</f>
        <v>0</v>
      </c>
      <c r="F31" s="14" t="s">
        <v>3</v>
      </c>
      <c r="G31" s="1"/>
    </row>
    <row r="32" spans="1:7" x14ac:dyDescent="0.25">
      <c r="A32" s="1"/>
      <c r="B32" s="122" t="s">
        <v>85</v>
      </c>
      <c r="C32" s="123"/>
      <c r="D32" s="124"/>
      <c r="E32" s="9">
        <v>2</v>
      </c>
      <c r="F32" s="14" t="s">
        <v>18</v>
      </c>
      <c r="G32" s="1"/>
    </row>
    <row r="33" spans="1:7" x14ac:dyDescent="0.25">
      <c r="A33" s="1"/>
      <c r="B33" s="125" t="s">
        <v>116</v>
      </c>
      <c r="C33" s="125"/>
      <c r="D33" s="125"/>
      <c r="E33" s="61">
        <f>E31/E32</f>
        <v>0</v>
      </c>
      <c r="F33" s="17" t="s">
        <v>3</v>
      </c>
      <c r="G33" s="1"/>
    </row>
    <row r="34" spans="1:7" x14ac:dyDescent="0.25">
      <c r="A34" s="1"/>
      <c r="B34" s="126"/>
      <c r="C34" s="127"/>
      <c r="D34" s="127"/>
      <c r="E34" s="127"/>
      <c r="F34" s="12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DBRi1ZrJdIVmxbM2QoIDiFporo/vLyKS2U1evkBPhf2tr1mMx6lvMh4FNznu5UlQQ+FPIpJrdwYKVdBFtM7LXA==" saltValue="2vaFXisygd+bglpay5gWZg==" spinCount="100000" sheet="1" objects="1" scenarios="1"/>
  <mergeCells count="16">
    <mergeCell ref="B31:D31"/>
    <mergeCell ref="B32:D32"/>
    <mergeCell ref="B33:D33"/>
    <mergeCell ref="B34:F34"/>
    <mergeCell ref="B15:D15"/>
    <mergeCell ref="B17:F17"/>
    <mergeCell ref="B26:F26"/>
    <mergeCell ref="B27:D27"/>
    <mergeCell ref="B28:F28"/>
    <mergeCell ref="B30:F30"/>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1" t="s">
        <v>184</v>
      </c>
      <c r="C8" s="102"/>
      <c r="D8" s="102"/>
      <c r="E8" s="102"/>
      <c r="F8" s="102"/>
      <c r="G8" s="102"/>
      <c r="H8" s="103"/>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1" t="s">
        <v>193</v>
      </c>
      <c r="C18" s="102"/>
      <c r="D18" s="102"/>
      <c r="E18" s="102"/>
      <c r="F18" s="10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fnAsKfxusWxfY7TsQo7QAazQXdhOwONB3tiH/1z9MjKYJ9xWTzZib8KkBVyseCRESnIPkAK4gr4kVVgWJ2ZRiA==" saltValue="6sNZgWCYDeynDvSoeESEx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1" t="s">
        <v>155</v>
      </c>
      <c r="C8" s="102"/>
      <c r="D8" s="102"/>
      <c r="E8" s="102"/>
      <c r="F8" s="102"/>
      <c r="G8" s="102"/>
      <c r="H8" s="102"/>
      <c r="I8" s="102"/>
      <c r="J8" s="102"/>
      <c r="K8" s="103"/>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22">
        <f>IFERROR(D10/C10,0)</f>
        <v>0</v>
      </c>
      <c r="G10" s="14" t="s">
        <v>3</v>
      </c>
      <c r="H10" s="9">
        <v>0</v>
      </c>
      <c r="I10" s="14" t="s">
        <v>3</v>
      </c>
      <c r="J10" s="9">
        <v>0</v>
      </c>
      <c r="K10" s="14" t="s">
        <v>3</v>
      </c>
      <c r="L10" s="1"/>
    </row>
    <row r="11" spans="1:12" x14ac:dyDescent="0.25">
      <c r="A11" s="1"/>
      <c r="B11" s="53" t="s">
        <v>215</v>
      </c>
      <c r="C11" s="54"/>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FpVx5vnFlHTlS1FVecYl0yeSNslsUmt5A/ll7mI+wSWjTW7OBagdqNJK68AYpvvjpms2xF5pXCMSPXtocEh6/g==" saltValue="XdzbYOqHbmM9p0iO2hmU9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70</v>
      </c>
      <c r="C8" s="54"/>
      <c r="D8" s="54"/>
      <c r="E8" s="54"/>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250</v>
      </c>
      <c r="C11" s="21">
        <v>0</v>
      </c>
      <c r="D11" s="14" t="s">
        <v>3</v>
      </c>
      <c r="E11" s="9">
        <v>542532</v>
      </c>
      <c r="F11" s="14" t="s">
        <v>3</v>
      </c>
      <c r="G11" s="1"/>
    </row>
    <row r="12" spans="1:7" x14ac:dyDescent="0.25">
      <c r="A12" s="1"/>
      <c r="B12" s="27" t="s">
        <v>251</v>
      </c>
      <c r="C12" s="21">
        <v>0</v>
      </c>
      <c r="D12" s="14" t="s">
        <v>3</v>
      </c>
      <c r="E12" s="9">
        <v>12507</v>
      </c>
      <c r="F12" s="14" t="s">
        <v>3</v>
      </c>
      <c r="G12" s="1"/>
    </row>
    <row r="13" spans="1:7" x14ac:dyDescent="0.25">
      <c r="A13" s="1"/>
      <c r="B13" s="27" t="s">
        <v>252</v>
      </c>
      <c r="C13" s="21">
        <v>2090583</v>
      </c>
      <c r="D13" s="14" t="s">
        <v>3</v>
      </c>
      <c r="E13" s="9">
        <v>234653</v>
      </c>
      <c r="F13" s="14" t="s">
        <v>3</v>
      </c>
      <c r="G13" s="1"/>
    </row>
    <row r="14" spans="1:7" x14ac:dyDescent="0.25">
      <c r="A14" s="1"/>
      <c r="B14" s="27" t="s">
        <v>255</v>
      </c>
      <c r="C14" s="21">
        <v>32814</v>
      </c>
      <c r="D14" s="14" t="s">
        <v>3</v>
      </c>
      <c r="E14" s="9">
        <v>0</v>
      </c>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3" t="s">
        <v>151</v>
      </c>
      <c r="C17" s="12">
        <f>SUM(C10:C16)</f>
        <v>2123397</v>
      </c>
      <c r="D17" s="13" t="s">
        <v>3</v>
      </c>
      <c r="E17" s="12">
        <f>SUM(E10:E16)</f>
        <v>789692</v>
      </c>
      <c r="F17" s="13" t="s">
        <v>3</v>
      </c>
      <c r="G17" s="1"/>
    </row>
    <row r="18" spans="1:7" x14ac:dyDescent="0.25">
      <c r="A18" s="1"/>
      <c r="B18" s="53" t="s">
        <v>209</v>
      </c>
      <c r="C18" s="12">
        <f>C17*(1+'Fane 13. Nøgletal'!C16)</f>
        <v>2294967.4775999999</v>
      </c>
      <c r="D18" s="13" t="s">
        <v>3</v>
      </c>
      <c r="E18" s="12">
        <f>E17*(1+'Fane 13. Nøgletal'!C16)</f>
        <v>853499.11360000004</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PcpEe/VcNZD91VDHwN+l7cb9VQqpxswbtnFh0Cr5Z0jXSBksRX/Wu2cFcvBhwetR7JEqGSbA9OXgQnHyjCLqoA==" saltValue="wztoA8w0TJvoYXDNHvdam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1" t="s">
        <v>217</v>
      </c>
      <c r="C9" s="102"/>
      <c r="D9" s="102"/>
      <c r="E9" s="102"/>
      <c r="F9" s="103"/>
      <c r="G9" s="1"/>
    </row>
    <row r="10" spans="1:7" ht="26.25" x14ac:dyDescent="0.25">
      <c r="A10" s="1"/>
      <c r="B10" s="76" t="s">
        <v>15</v>
      </c>
      <c r="C10" s="76" t="s">
        <v>10</v>
      </c>
      <c r="D10" s="77"/>
      <c r="E10" s="76" t="s">
        <v>27</v>
      </c>
      <c r="F10" s="30"/>
      <c r="G10" s="1"/>
    </row>
    <row r="11" spans="1:7" x14ac:dyDescent="0.25">
      <c r="A11" s="1"/>
      <c r="B11" s="23" t="s">
        <v>253</v>
      </c>
      <c r="C11" s="21">
        <v>171024.5</v>
      </c>
      <c r="D11" s="14" t="s">
        <v>3</v>
      </c>
      <c r="E11" s="9">
        <v>0</v>
      </c>
      <c r="F11" s="14" t="s">
        <v>3</v>
      </c>
      <c r="G11" s="1"/>
    </row>
    <row r="12" spans="1:7" x14ac:dyDescent="0.25">
      <c r="A12" s="1"/>
      <c r="B12" s="23" t="s">
        <v>254</v>
      </c>
      <c r="C12" s="21">
        <v>224271</v>
      </c>
      <c r="D12" s="14" t="s">
        <v>3</v>
      </c>
      <c r="E12" s="9">
        <v>0</v>
      </c>
      <c r="F12" s="14" t="s">
        <v>3</v>
      </c>
      <c r="G12" s="1"/>
    </row>
    <row r="13" spans="1:7" x14ac:dyDescent="0.25">
      <c r="A13" s="1"/>
      <c r="B13" s="23" t="s">
        <v>255</v>
      </c>
      <c r="C13" s="21">
        <v>984420</v>
      </c>
      <c r="D13" s="14" t="s">
        <v>3</v>
      </c>
      <c r="E13" s="9"/>
      <c r="F13" s="14" t="s">
        <v>3</v>
      </c>
      <c r="G13" s="1"/>
    </row>
    <row r="14" spans="1:7" x14ac:dyDescent="0.25">
      <c r="A14" s="1"/>
      <c r="B14" s="53" t="s">
        <v>218</v>
      </c>
      <c r="C14" s="12">
        <f>SUM(C11:C13)</f>
        <v>1379715.5</v>
      </c>
      <c r="D14" s="13" t="s">
        <v>3</v>
      </c>
      <c r="E14" s="12">
        <f>SUM(E11:E13)</f>
        <v>0</v>
      </c>
      <c r="F14" s="13" t="s">
        <v>3</v>
      </c>
      <c r="G14" s="1"/>
    </row>
    <row r="15" spans="1:7" x14ac:dyDescent="0.25">
      <c r="A15" s="1"/>
      <c r="B15" s="53" t="s">
        <v>219</v>
      </c>
      <c r="C15" s="12">
        <f>C14*(1+'Fane 13. Nøgletal'!$C$16)^2</f>
        <v>1611685.19060192</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CAgUuROBmYYLpUF46br7zg0ghfw0NH7pYl5s/Me8X5yl85LtVolDem1/GZ0ogqYnyY79nCkpdV5CwS4/fJqQQ==" saltValue="Oz5JGW3SMghWsRSk7cUcE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1" t="s">
        <v>104</v>
      </c>
      <c r="C8" s="102"/>
      <c r="D8" s="102"/>
      <c r="E8" s="102"/>
      <c r="F8" s="103"/>
      <c r="G8" s="1"/>
    </row>
    <row r="9" spans="1:7" ht="15" customHeight="1" x14ac:dyDescent="0.25">
      <c r="A9" s="1"/>
      <c r="B9" s="55" t="s">
        <v>105</v>
      </c>
      <c r="C9" s="132" t="s">
        <v>10</v>
      </c>
      <c r="D9" s="134"/>
      <c r="E9" s="132" t="s">
        <v>27</v>
      </c>
      <c r="F9" s="134"/>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EqpoAEl7FmvV8Pu18lPgOcfvUqesobkq4KJu34KUqwhaaiSC1zWgWAlBNnqcj/TE5VAfKWHDEtcxGUMqmKBM/A==" saltValue="tS5int0bPhRb66XA120kt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F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0" t="s">
        <v>181</v>
      </c>
      <c r="C3" s="100"/>
      <c r="D3" s="100"/>
      <c r="E3" s="100"/>
      <c r="F3" s="100"/>
    </row>
    <row r="4" spans="1:6" ht="25.5" customHeight="1" x14ac:dyDescent="0.25">
      <c r="A4" s="1"/>
      <c r="B4" s="100"/>
      <c r="C4" s="100"/>
      <c r="D4" s="100"/>
      <c r="E4" s="100"/>
      <c r="F4" s="100"/>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
      <c r="C8" s="1"/>
      <c r="D8" s="1"/>
      <c r="E8" s="1"/>
      <c r="F8" s="1"/>
    </row>
    <row r="9" spans="1:6" ht="15" customHeight="1" x14ac:dyDescent="0.25">
      <c r="A9" s="1"/>
      <c r="B9" s="1"/>
      <c r="C9" s="1"/>
      <c r="D9" s="1"/>
      <c r="E9" s="1"/>
      <c r="F9" s="1"/>
    </row>
    <row r="10" spans="1:6" x14ac:dyDescent="0.25">
      <c r="A10" s="1"/>
      <c r="B10" s="101" t="s">
        <v>237</v>
      </c>
      <c r="C10" s="102"/>
      <c r="D10" s="102"/>
      <c r="E10" s="102"/>
      <c r="F10" s="103"/>
    </row>
    <row r="11" spans="1:6" ht="26.25" x14ac:dyDescent="0.25">
      <c r="A11" s="1"/>
      <c r="B11" s="55" t="s">
        <v>16</v>
      </c>
      <c r="C11" s="55" t="s">
        <v>10</v>
      </c>
      <c r="D11" s="30"/>
      <c r="E11" s="55" t="s">
        <v>27</v>
      </c>
      <c r="F11" s="30"/>
    </row>
    <row r="12" spans="1:6" x14ac:dyDescent="0.25">
      <c r="A12" s="1"/>
      <c r="B12" s="57" t="s">
        <v>242</v>
      </c>
      <c r="C12" s="9">
        <v>0</v>
      </c>
      <c r="D12" s="14" t="s">
        <v>3</v>
      </c>
      <c r="E12" s="9">
        <v>0</v>
      </c>
      <c r="F12" s="14" t="s">
        <v>3</v>
      </c>
    </row>
    <row r="13" spans="1:6" x14ac:dyDescent="0.25">
      <c r="A13" s="1"/>
      <c r="B13" s="53" t="s">
        <v>78</v>
      </c>
      <c r="C13" s="12">
        <f>SUM(C12:C12)</f>
        <v>0</v>
      </c>
      <c r="D13" s="13" t="s">
        <v>3</v>
      </c>
      <c r="E13" s="12">
        <f>SUM(E12:E12)</f>
        <v>0</v>
      </c>
      <c r="F13" s="13" t="s">
        <v>3</v>
      </c>
    </row>
    <row r="14" spans="1:6" x14ac:dyDescent="0.25">
      <c r="A14" s="1"/>
      <c r="B14" s="53" t="s">
        <v>233</v>
      </c>
      <c r="C14" s="12">
        <f>C13*(1+'Fane 13. Nøgletal'!C16)</f>
        <v>0</v>
      </c>
      <c r="D14" s="13" t="s">
        <v>3</v>
      </c>
      <c r="E14" s="12">
        <f>E13*(1+'Fane 13. Nøgletal'!C16)</f>
        <v>0</v>
      </c>
      <c r="F14" s="13" t="s">
        <v>3</v>
      </c>
    </row>
    <row r="15" spans="1:6" x14ac:dyDescent="0.25">
      <c r="A15" s="1"/>
      <c r="B15" s="1"/>
      <c r="C15" s="1"/>
      <c r="D15" s="1"/>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sOqVJnhadX68oHiks9aDBUvoki5KQpRAZ5bvP4r0u4VhkehKGaJW6b9Afg3f4BTZf4NaWFVc/B2Ubao+jmlSaQ==" saltValue="F1aT8YDHpVhGbmfNCqnyG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3"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1" t="s">
        <v>207</v>
      </c>
      <c r="C16" s="42">
        <v>8.0799999999999997E-2</v>
      </c>
      <c r="D16" s="1"/>
    </row>
    <row r="17" spans="1:4" x14ac:dyDescent="0.25">
      <c r="A17" s="1"/>
      <c r="B17" s="101"/>
      <c r="C17" s="103"/>
      <c r="D17" s="1"/>
    </row>
    <row r="18" spans="1:4" x14ac:dyDescent="0.25">
      <c r="A18" s="1"/>
      <c r="B18" s="1"/>
      <c r="C18" s="38"/>
      <c r="D18" s="1"/>
    </row>
    <row r="19" spans="1:4" x14ac:dyDescent="0.25">
      <c r="A19" s="1"/>
      <c r="B19" s="1"/>
      <c r="C19" s="38"/>
      <c r="D19" s="1"/>
    </row>
    <row r="20" spans="1:4" x14ac:dyDescent="0.25">
      <c r="A20" s="1"/>
      <c r="B20" s="53"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2.8400000000000002E-2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1" t="s">
        <v>208</v>
      </c>
      <c r="C28" s="42">
        <v>0</v>
      </c>
      <c r="D28" s="1"/>
    </row>
    <row r="29" spans="1:4" x14ac:dyDescent="0.25">
      <c r="A29" s="1"/>
      <c r="B29" s="53"/>
      <c r="C29" s="39"/>
      <c r="D29" s="1"/>
    </row>
    <row r="30" spans="1:4" x14ac:dyDescent="0.25">
      <c r="A30" s="1"/>
      <c r="B30" s="1"/>
      <c r="C30" s="38"/>
      <c r="D30" s="1"/>
    </row>
    <row r="31" spans="1:4" x14ac:dyDescent="0.25">
      <c r="A31" s="1"/>
      <c r="B31" s="1"/>
      <c r="C31" s="38"/>
      <c r="D31" s="1"/>
    </row>
    <row r="32" spans="1:4" x14ac:dyDescent="0.25">
      <c r="A32" s="1"/>
      <c r="B32" s="53" t="s">
        <v>82</v>
      </c>
      <c r="C32" s="39"/>
      <c r="D32" s="1"/>
    </row>
    <row r="33" spans="1:4" x14ac:dyDescent="0.25">
      <c r="A33" s="1"/>
      <c r="B33" s="68" t="s">
        <v>99</v>
      </c>
      <c r="C33" s="40">
        <v>0.02</v>
      </c>
      <c r="D33" s="1"/>
    </row>
    <row r="34" spans="1:4" x14ac:dyDescent="0.25">
      <c r="A34" s="1"/>
      <c r="B34" s="53"/>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H8gjFKWp5WTw8soDrYzI0LvMqZaIluFoYleuNIMBnn9vIqsmKCFslNMGGEWS7kDUaW71UGzfmVWF5Y+V9EgQw==" saltValue="IjVD19nkvJr32sIwku7rn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3" t="s">
        <v>12</v>
      </c>
      <c r="C7" s="54"/>
      <c r="D7" s="19"/>
      <c r="E7" s="1"/>
    </row>
    <row r="8" spans="1:5" x14ac:dyDescent="0.25">
      <c r="A8" s="1"/>
      <c r="B8" s="56" t="s">
        <v>109</v>
      </c>
      <c r="C8" s="7">
        <f>'Fane 3. Omkostninger i ØR2023'!C19</f>
        <v>164560686.46093783</v>
      </c>
      <c r="D8" s="8" t="s">
        <v>3</v>
      </c>
      <c r="E8" s="1"/>
    </row>
    <row r="9" spans="1:5" ht="17.100000000000001" customHeight="1" x14ac:dyDescent="0.25">
      <c r="A9" s="1"/>
      <c r="B9" s="24" t="s">
        <v>33</v>
      </c>
      <c r="C9" s="7">
        <f>'Fane 10.1. Varige tillæg'!C18</f>
        <v>2294967.4775999999</v>
      </c>
      <c r="D9" s="8" t="s">
        <v>3</v>
      </c>
      <c r="E9" s="1"/>
    </row>
    <row r="10" spans="1:5" ht="17.100000000000001" customHeight="1" x14ac:dyDescent="0.25">
      <c r="A10" s="1"/>
      <c r="B10" s="24" t="s">
        <v>34</v>
      </c>
      <c r="C10" s="9">
        <f>'Fane 10.1. Varige tillæg'!E18</f>
        <v>853499.11360000004</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6112756.5385783464</v>
      </c>
      <c r="D15" s="8" t="s">
        <v>3</v>
      </c>
      <c r="E15" s="1"/>
    </row>
    <row r="16" spans="1:5" ht="17.100000000000001" customHeight="1" x14ac:dyDescent="0.25">
      <c r="A16" s="1"/>
      <c r="B16" s="24" t="s">
        <v>9</v>
      </c>
      <c r="C16" s="9">
        <f>-SUM(C8,C9:C15)*'Fane 5. Individuelt eff. krav'!G9</f>
        <v>-3476438.1918143239</v>
      </c>
      <c r="D16" s="8" t="s">
        <v>3</v>
      </c>
      <c r="E16" s="1"/>
    </row>
    <row r="17" spans="1:5" ht="17.100000000000001" customHeight="1" x14ac:dyDescent="0.25">
      <c r="A17" s="1"/>
      <c r="B17" s="24" t="s">
        <v>22</v>
      </c>
      <c r="C17" s="9">
        <f>-'Fane 4.1. Gen. krav - drift'!G49</f>
        <v>-2015906.9232462212</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168329564.47565562</v>
      </c>
      <c r="D19" s="11" t="s">
        <v>3</v>
      </c>
      <c r="E19" s="1"/>
    </row>
    <row r="20" spans="1:5" ht="15" customHeight="1" x14ac:dyDescent="0.25">
      <c r="A20" s="1"/>
      <c r="B20" s="53" t="s">
        <v>11</v>
      </c>
      <c r="C20" s="54"/>
      <c r="D20" s="19"/>
      <c r="E20" s="1"/>
    </row>
    <row r="21" spans="1:5" ht="15" customHeight="1" x14ac:dyDescent="0.25">
      <c r="A21" s="1"/>
      <c r="B21" s="55" t="s">
        <v>11</v>
      </c>
      <c r="C21" s="10">
        <f>'Fane 6. Ikke-påvirkelige omk.'!C20</f>
        <v>127192843.4137536</v>
      </c>
      <c r="D21" s="11" t="s">
        <v>3</v>
      </c>
      <c r="E21" s="1"/>
    </row>
    <row r="22" spans="1:5" ht="15" customHeight="1" x14ac:dyDescent="0.25">
      <c r="A22" s="1"/>
      <c r="B22" s="53" t="s">
        <v>75</v>
      </c>
      <c r="C22" s="54"/>
      <c r="D22" s="19"/>
      <c r="E22" s="1"/>
    </row>
    <row r="23" spans="1:5" ht="15" customHeight="1" x14ac:dyDescent="0.25">
      <c r="A23" s="1"/>
      <c r="B23" s="24" t="s">
        <v>71</v>
      </c>
      <c r="C23" s="9">
        <f>'Fane 10.2. Engangstillæg'!C15</f>
        <v>1611685.19060192</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-64467.407624076804</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49">
        <f>SUM(C23:C26)</f>
        <v>1547217.7829778432</v>
      </c>
      <c r="D27" s="11" t="s">
        <v>3</v>
      </c>
      <c r="E27" s="1"/>
    </row>
    <row r="28" spans="1:5" ht="15" customHeight="1" x14ac:dyDescent="0.25">
      <c r="A28" s="1"/>
      <c r="B28" s="26" t="s">
        <v>117</v>
      </c>
      <c r="C28" s="54"/>
      <c r="D28" s="19"/>
      <c r="E28" s="1"/>
    </row>
    <row r="29" spans="1:5" x14ac:dyDescent="0.25">
      <c r="A29" s="1"/>
      <c r="B29" s="72" t="s">
        <v>118</v>
      </c>
      <c r="C29" s="10">
        <f>'Fane 7. Kontrol af ØR2022'!E27</f>
        <v>-40455</v>
      </c>
      <c r="D29" s="11" t="s">
        <v>3</v>
      </c>
      <c r="E29" s="1"/>
    </row>
    <row r="30" spans="1:5" x14ac:dyDescent="0.25">
      <c r="A30" s="1"/>
      <c r="B30" s="26" t="s">
        <v>138</v>
      </c>
      <c r="C30" s="54"/>
      <c r="D30" s="19"/>
      <c r="E30" s="1"/>
    </row>
    <row r="31" spans="1:5" x14ac:dyDescent="0.25">
      <c r="A31" s="1"/>
      <c r="B31" s="72" t="s">
        <v>139</v>
      </c>
      <c r="C31" s="10">
        <f>'Fane 8. Skattesagen'!G13</f>
        <v>0</v>
      </c>
      <c r="D31" s="11" t="s">
        <v>3</v>
      </c>
      <c r="E31" s="1"/>
    </row>
    <row r="32" spans="1:5" x14ac:dyDescent="0.25">
      <c r="A32" s="1"/>
      <c r="B32" s="53" t="s">
        <v>126</v>
      </c>
      <c r="C32" s="33">
        <f>SUM(C19,C21,C27,C29,C31)</f>
        <v>297029170.672387</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GBUuLBgQ9qR6/waeJoWjwUPVptizFfCVKLTD0akNQaADqTHGbnVNW/e/ckSBXWF1qjkPTygZxp8tkbfuVDoNA==" saltValue="ilz1iAuDOzaAIDXnbCDkL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85546875" style="2" bestFit="1"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3" t="s">
        <v>12</v>
      </c>
      <c r="C7" s="54"/>
      <c r="D7" s="19"/>
      <c r="E7" s="1"/>
    </row>
    <row r="8" spans="1:5" ht="15" customHeight="1" x14ac:dyDescent="0.25">
      <c r="A8" s="1"/>
      <c r="B8" s="56" t="s">
        <v>127</v>
      </c>
      <c r="C8" s="7">
        <f>'Fane 2.1. Økonomisk ramme 2024'!C19</f>
        <v>168329564.47565562</v>
      </c>
      <c r="D8" s="8" t="s">
        <v>3</v>
      </c>
      <c r="E8" s="1"/>
    </row>
    <row r="9" spans="1:5" ht="15" customHeight="1" x14ac:dyDescent="0.25">
      <c r="A9" s="1"/>
      <c r="B9" s="29" t="s">
        <v>17</v>
      </c>
      <c r="C9" s="9">
        <f>SUM(C8:C8)*'Fane 13. Nøgletal'!C16</f>
        <v>13601028.809632974</v>
      </c>
      <c r="D9" s="8" t="s">
        <v>3</v>
      </c>
      <c r="E9" s="1"/>
    </row>
    <row r="10" spans="1:5" ht="15" customHeight="1" x14ac:dyDescent="0.25">
      <c r="A10" s="1"/>
      <c r="B10" s="29" t="s">
        <v>9</v>
      </c>
      <c r="C10" s="9">
        <f>-SUM(C8:C9)*'Fane 5. Individuelt eff. krav'!G9</f>
        <v>-3638611.8657057723</v>
      </c>
      <c r="D10" s="8" t="s">
        <v>3</v>
      </c>
      <c r="E10" s="1"/>
    </row>
    <row r="11" spans="1:5" ht="15" customHeight="1" x14ac:dyDescent="0.25">
      <c r="A11" s="1"/>
      <c r="B11" s="29" t="s">
        <v>22</v>
      </c>
      <c r="C11" s="9">
        <f>-'Fane 4.1. Gen. krav - drift'!G54</f>
        <v>-2135216.3585916259</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176156765.06099123</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f>
        <v>137470025.16158488</v>
      </c>
      <c r="D15" s="11" t="s">
        <v>3</v>
      </c>
      <c r="E15" s="1"/>
    </row>
    <row r="16" spans="1:5" x14ac:dyDescent="0.25">
      <c r="A16" s="1"/>
      <c r="B16" s="26" t="s">
        <v>117</v>
      </c>
      <c r="C16" s="54"/>
      <c r="D16" s="19"/>
      <c r="E16" s="1"/>
    </row>
    <row r="17" spans="1:5" ht="15" customHeight="1" x14ac:dyDescent="0.25">
      <c r="A17" s="1"/>
      <c r="B17" s="72" t="s">
        <v>118</v>
      </c>
      <c r="C17" s="10">
        <f>'Fane 7. Kontrol af ØR2022'!E33</f>
        <v>0</v>
      </c>
      <c r="D17" s="11" t="s">
        <v>3</v>
      </c>
      <c r="E17" s="1"/>
    </row>
    <row r="18" spans="1:5" x14ac:dyDescent="0.25">
      <c r="A18" s="1"/>
      <c r="B18" s="26" t="s">
        <v>138</v>
      </c>
      <c r="C18" s="54"/>
      <c r="D18" s="19"/>
      <c r="E18" s="1"/>
    </row>
    <row r="19" spans="1:5" x14ac:dyDescent="0.25">
      <c r="A19" s="1"/>
      <c r="B19" s="72" t="s">
        <v>139</v>
      </c>
      <c r="C19" s="10">
        <f>'Fane 8. Skattesagen'!G13</f>
        <v>0</v>
      </c>
      <c r="D19" s="11" t="s">
        <v>3</v>
      </c>
      <c r="E19" s="1"/>
    </row>
    <row r="20" spans="1:5" x14ac:dyDescent="0.25">
      <c r="A20" s="1"/>
      <c r="B20" s="53" t="s">
        <v>128</v>
      </c>
      <c r="C20" s="12">
        <f>SUM(C13,C15,C17,C19)</f>
        <v>313626790.22257614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j8J2zJtG00wmY/tjReacfu/xOW5raM6j9rqP7BhgT+THeDASI9qHxxoi+oHHG1Pzl+2MWahLlc9NQyMOa2VA==" saltValue="5acAVRKiC+vPfjRWCBRfC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2.28515625" style="2" customWidth="1"/>
    <col min="3" max="3" width="10.85546875" style="2" bestFit="1"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3" t="s">
        <v>12</v>
      </c>
      <c r="C7" s="54"/>
      <c r="D7" s="19"/>
      <c r="E7" s="1"/>
    </row>
    <row r="8" spans="1:5" ht="15" customHeight="1" x14ac:dyDescent="0.25">
      <c r="A8" s="1"/>
      <c r="B8" s="56" t="s">
        <v>142</v>
      </c>
      <c r="C8" s="7">
        <f>'Fane 2.2. Økonomisk ramme 2025'!C13</f>
        <v>176156765.06099123</v>
      </c>
      <c r="D8" s="8" t="s">
        <v>3</v>
      </c>
      <c r="E8" s="1"/>
    </row>
    <row r="9" spans="1:5" ht="15" customHeight="1" x14ac:dyDescent="0.25">
      <c r="A9" s="1"/>
      <c r="B9" s="29" t="s">
        <v>17</v>
      </c>
      <c r="C9" s="9">
        <f>SUM(C8:C8)*'Fane 13. Nøgletal'!C16</f>
        <v>14233466.616928091</v>
      </c>
      <c r="D9" s="8" t="s">
        <v>3</v>
      </c>
      <c r="E9" s="1"/>
    </row>
    <row r="10" spans="1:5" ht="15" customHeight="1" x14ac:dyDescent="0.25">
      <c r="A10" s="1"/>
      <c r="B10" s="29" t="s">
        <v>9</v>
      </c>
      <c r="C10" s="9">
        <f>-SUM(C8:C9)*'Fane 5. Individuelt eff. krav'!G9</f>
        <v>-3807804.6335583865</v>
      </c>
      <c r="D10" s="8" t="s">
        <v>3</v>
      </c>
      <c r="E10" s="1"/>
    </row>
    <row r="11" spans="1:5" ht="15" customHeight="1" x14ac:dyDescent="0.25">
      <c r="A11" s="1"/>
      <c r="B11" s="29" t="s">
        <v>22</v>
      </c>
      <c r="C11" s="9">
        <f>-'Fane 4.1. Gen. krav - drift'!G59</f>
        <v>-2261587.0035585123</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184320840.04080242</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Nøgletal'!C16)^2</f>
        <v>148577603.19464093</v>
      </c>
      <c r="D15" s="11" t="s">
        <v>3</v>
      </c>
      <c r="E15" s="1"/>
    </row>
    <row r="16" spans="1:5" x14ac:dyDescent="0.25">
      <c r="A16" s="1"/>
      <c r="B16" s="53" t="s">
        <v>117</v>
      </c>
      <c r="C16" s="54"/>
      <c r="D16" s="19"/>
      <c r="E16" s="1"/>
    </row>
    <row r="17" spans="1:5" x14ac:dyDescent="0.25">
      <c r="A17" s="1"/>
      <c r="B17" s="55" t="s">
        <v>118</v>
      </c>
      <c r="C17" s="10">
        <f>'Fane 7. Kontrol af ØR2022'!E33</f>
        <v>0</v>
      </c>
      <c r="D17" s="11" t="s">
        <v>3</v>
      </c>
      <c r="E17" s="1"/>
    </row>
    <row r="18" spans="1:5" ht="15" customHeight="1" x14ac:dyDescent="0.25">
      <c r="A18" s="1"/>
      <c r="B18" s="26" t="s">
        <v>138</v>
      </c>
      <c r="C18" s="54"/>
      <c r="D18" s="19"/>
      <c r="E18" s="1"/>
    </row>
    <row r="19" spans="1:5" ht="15" customHeight="1" x14ac:dyDescent="0.25">
      <c r="A19" s="1"/>
      <c r="B19" s="72" t="s">
        <v>139</v>
      </c>
      <c r="C19" s="10">
        <f>'Fane 8. Skattesagen'!G14</f>
        <v>0</v>
      </c>
      <c r="D19" s="11" t="s">
        <v>3</v>
      </c>
      <c r="E19" s="1"/>
    </row>
    <row r="20" spans="1:5" x14ac:dyDescent="0.25">
      <c r="A20" s="1"/>
      <c r="B20" s="53" t="s">
        <v>143</v>
      </c>
      <c r="C20" s="12">
        <f>SUM(C13,C15,C17,C19)</f>
        <v>332898443.23544335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c+4y+l8nbvPJdivZzpfKMhpiagBHR7v6djads1cszza6wv34TYCcvHH4/FSXyoIT32rmb8yPkU2j5L06/BaQA==" saltValue="j0cKfy1y6nmkmhlAlS6Tg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85546875" style="2" bestFit="1"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3" t="s">
        <v>12</v>
      </c>
      <c r="C7" s="54"/>
      <c r="D7" s="19"/>
      <c r="E7" s="1"/>
    </row>
    <row r="8" spans="1:5" ht="15" customHeight="1" x14ac:dyDescent="0.25">
      <c r="A8" s="1"/>
      <c r="B8" s="56" t="s">
        <v>203</v>
      </c>
      <c r="C8" s="7">
        <f>'Fane 2.3. Økonomisk ramme 2026'!C13</f>
        <v>184320840.04080242</v>
      </c>
      <c r="D8" s="8" t="s">
        <v>3</v>
      </c>
      <c r="E8" s="1"/>
    </row>
    <row r="9" spans="1:5" ht="15" customHeight="1" x14ac:dyDescent="0.25">
      <c r="A9" s="1"/>
      <c r="B9" s="29" t="s">
        <v>17</v>
      </c>
      <c r="C9" s="9">
        <f>SUM(C8:C8)*'Fane 13. Nøgletal'!C16</f>
        <v>14893123.875296835</v>
      </c>
      <c r="D9" s="8" t="s">
        <v>3</v>
      </c>
      <c r="E9" s="1"/>
    </row>
    <row r="10" spans="1:5" ht="15" customHeight="1" x14ac:dyDescent="0.25">
      <c r="A10" s="1"/>
      <c r="B10" s="29" t="s">
        <v>9</v>
      </c>
      <c r="C10" s="9">
        <f>-SUM(C8:C9)*'Fane 5. Individuelt eff. krav'!G9</f>
        <v>-3984279.2783219852</v>
      </c>
      <c r="D10" s="8" t="s">
        <v>3</v>
      </c>
      <c r="E10" s="1"/>
    </row>
    <row r="11" spans="1:5" ht="15" customHeight="1" x14ac:dyDescent="0.25">
      <c r="A11" s="1"/>
      <c r="B11" s="29" t="s">
        <v>22</v>
      </c>
      <c r="C11" s="9">
        <f>-'Fane 4.1. Gen. krav - drift'!G64</f>
        <v>-2395436.7687771195</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192834247.86900014</v>
      </c>
      <c r="D13" s="11" t="s">
        <v>3</v>
      </c>
      <c r="E13" s="1"/>
    </row>
    <row r="14" spans="1:5" x14ac:dyDescent="0.25">
      <c r="A14" s="1"/>
      <c r="B14" s="53" t="s">
        <v>11</v>
      </c>
      <c r="C14" s="54"/>
      <c r="D14" s="19"/>
      <c r="E14" s="1"/>
    </row>
    <row r="15" spans="1:5" ht="15" customHeight="1" x14ac:dyDescent="0.25">
      <c r="A15" s="1"/>
      <c r="B15" s="55" t="s">
        <v>11</v>
      </c>
      <c r="C15" s="10">
        <f>'Fane 6. Ikke-påvirkelige omk.'!C20*(1+'Fane 13. Nøgletal'!C16)^3</f>
        <v>160582673.53276792</v>
      </c>
      <c r="D15" s="11" t="s">
        <v>3</v>
      </c>
      <c r="E15" s="1"/>
    </row>
    <row r="16" spans="1:5" x14ac:dyDescent="0.25">
      <c r="A16" s="1"/>
      <c r="B16" s="53" t="s">
        <v>117</v>
      </c>
      <c r="C16" s="54"/>
      <c r="D16" s="19"/>
      <c r="E16" s="1"/>
    </row>
    <row r="17" spans="1:5" x14ac:dyDescent="0.25">
      <c r="A17" s="1"/>
      <c r="B17" s="55" t="s">
        <v>118</v>
      </c>
      <c r="C17" s="10">
        <v>0</v>
      </c>
      <c r="D17" s="11" t="s">
        <v>3</v>
      </c>
      <c r="E17" s="1"/>
    </row>
    <row r="18" spans="1:5" x14ac:dyDescent="0.25">
      <c r="A18" s="1"/>
      <c r="B18" s="26" t="s">
        <v>138</v>
      </c>
      <c r="C18" s="54"/>
      <c r="D18" s="19"/>
      <c r="E18" s="1"/>
    </row>
    <row r="19" spans="1:5" x14ac:dyDescent="0.25">
      <c r="A19" s="1"/>
      <c r="B19" s="72" t="s">
        <v>139</v>
      </c>
      <c r="C19" s="10">
        <f>'Fane 8. Skattesagen'!G15</f>
        <v>0</v>
      </c>
      <c r="D19" s="11" t="s">
        <v>3</v>
      </c>
      <c r="E19" s="1"/>
    </row>
    <row r="20" spans="1:5" x14ac:dyDescent="0.25">
      <c r="A20" s="1"/>
      <c r="B20" s="53" t="s">
        <v>205</v>
      </c>
      <c r="C20" s="12">
        <f>SUM(C13,C15,C17,C19)</f>
        <v>353416921.40176809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ftmk8g4w3L/jb/RolgMTVyghquYgOra/8bvnVlK+fdrYzWVC6RXZcs63RACsWPC2xMOpj7vVAH2pIEmLq2H/w==" saltValue="Tz2uhq0V1WqKD6jW137is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3" t="s">
        <v>202</v>
      </c>
      <c r="C7" s="54"/>
      <c r="D7" s="19"/>
      <c r="E7" s="1"/>
    </row>
    <row r="8" spans="1:5" x14ac:dyDescent="0.25">
      <c r="A8" s="1"/>
      <c r="B8" s="56" t="s">
        <v>108</v>
      </c>
      <c r="C8" s="7">
        <v>157151974.39372048</v>
      </c>
      <c r="D8" s="8" t="s">
        <v>3</v>
      </c>
      <c r="E8" s="1"/>
    </row>
    <row r="9" spans="1:5" x14ac:dyDescent="0.25">
      <c r="A9" s="1"/>
      <c r="B9" s="24" t="s">
        <v>33</v>
      </c>
      <c r="C9" s="7">
        <v>3186029.6136000003</v>
      </c>
      <c r="D9" s="8" t="s">
        <v>3</v>
      </c>
      <c r="E9" s="1"/>
    </row>
    <row r="10" spans="1:5" x14ac:dyDescent="0.25">
      <c r="A10" s="1"/>
      <c r="B10" s="24" t="s">
        <v>34</v>
      </c>
      <c r="C10" s="9">
        <v>3717675.5856000003</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5840382.1935079684</v>
      </c>
      <c r="D15" s="8" t="s">
        <v>3</v>
      </c>
      <c r="E15" s="1"/>
    </row>
    <row r="16" spans="1:5" x14ac:dyDescent="0.25">
      <c r="A16" s="1"/>
      <c r="B16" s="24" t="s">
        <v>9</v>
      </c>
      <c r="C16" s="9">
        <v>-3397921.2357285684</v>
      </c>
      <c r="D16" s="8" t="s">
        <v>3</v>
      </c>
      <c r="E16" s="1"/>
    </row>
    <row r="17" spans="1:5" x14ac:dyDescent="0.25">
      <c r="A17" s="1"/>
      <c r="B17" s="24" t="s">
        <v>22</v>
      </c>
      <c r="C17" s="9">
        <v>-1937454.0897620423</v>
      </c>
      <c r="D17" s="8" t="s">
        <v>3</v>
      </c>
      <c r="E17" s="1"/>
    </row>
    <row r="18" spans="1:5" x14ac:dyDescent="0.25">
      <c r="A18" s="1"/>
      <c r="B18" s="24" t="s">
        <v>23</v>
      </c>
      <c r="C18" s="9">
        <v>0</v>
      </c>
      <c r="D18" s="8" t="s">
        <v>3</v>
      </c>
      <c r="E18" s="1"/>
    </row>
    <row r="19" spans="1:5" x14ac:dyDescent="0.25">
      <c r="A19" s="1"/>
      <c r="B19" s="73" t="s">
        <v>19</v>
      </c>
      <c r="C19" s="10">
        <v>164560686.46093783</v>
      </c>
      <c r="D19" s="11" t="s">
        <v>3</v>
      </c>
      <c r="E19" s="1"/>
    </row>
    <row r="20" spans="1:5" x14ac:dyDescent="0.25">
      <c r="A20" s="1"/>
      <c r="B20" s="53" t="s">
        <v>11</v>
      </c>
      <c r="C20" s="54"/>
      <c r="D20" s="19"/>
      <c r="E20" s="1"/>
    </row>
    <row r="21" spans="1:5" x14ac:dyDescent="0.25">
      <c r="A21" s="1"/>
      <c r="B21" s="55" t="s">
        <v>11</v>
      </c>
      <c r="C21" s="10">
        <v>118735536.15919586</v>
      </c>
      <c r="D21" s="11" t="s">
        <v>3</v>
      </c>
      <c r="E21" s="1"/>
    </row>
    <row r="22" spans="1:5" x14ac:dyDescent="0.25">
      <c r="A22" s="1"/>
      <c r="B22" s="53" t="s">
        <v>75</v>
      </c>
      <c r="C22" s="54"/>
      <c r="D22" s="19"/>
      <c r="E22" s="1"/>
    </row>
    <row r="23" spans="1:5" x14ac:dyDescent="0.25">
      <c r="A23" s="1"/>
      <c r="B23" s="24" t="s">
        <v>71</v>
      </c>
      <c r="C23" s="9">
        <v>1309708.93717296</v>
      </c>
      <c r="D23" s="8" t="s">
        <v>3</v>
      </c>
      <c r="E23" s="1"/>
    </row>
    <row r="24" spans="1:5" x14ac:dyDescent="0.25">
      <c r="A24" s="1"/>
      <c r="B24" s="24" t="s">
        <v>72</v>
      </c>
      <c r="C24" s="9">
        <v>0</v>
      </c>
      <c r="D24" s="8" t="s">
        <v>3</v>
      </c>
      <c r="E24" s="1"/>
    </row>
    <row r="25" spans="1:5" x14ac:dyDescent="0.25">
      <c r="A25" s="1"/>
      <c r="B25" s="24" t="s">
        <v>164</v>
      </c>
      <c r="C25" s="9">
        <v>-52388.357486918401</v>
      </c>
      <c r="D25" s="8" t="s">
        <v>3</v>
      </c>
      <c r="E25" s="1"/>
    </row>
    <row r="26" spans="1:5" x14ac:dyDescent="0.25">
      <c r="A26" s="1"/>
      <c r="B26" s="24" t="s">
        <v>165</v>
      </c>
      <c r="C26" s="9">
        <v>0</v>
      </c>
      <c r="D26" s="8" t="s">
        <v>3</v>
      </c>
      <c r="E26" s="1"/>
    </row>
    <row r="27" spans="1:5" x14ac:dyDescent="0.25">
      <c r="A27" s="1"/>
      <c r="B27" s="73" t="s">
        <v>76</v>
      </c>
      <c r="C27" s="49">
        <v>1257320.5796860417</v>
      </c>
      <c r="D27" s="11" t="s">
        <v>3</v>
      </c>
      <c r="E27" s="1"/>
    </row>
    <row r="28" spans="1:5" x14ac:dyDescent="0.25">
      <c r="A28" s="1"/>
      <c r="B28" s="26" t="s">
        <v>117</v>
      </c>
      <c r="C28" s="54"/>
      <c r="D28" s="19"/>
      <c r="E28" s="1"/>
    </row>
    <row r="29" spans="1:5" x14ac:dyDescent="0.25">
      <c r="A29" s="1"/>
      <c r="B29" s="72" t="s">
        <v>118</v>
      </c>
      <c r="C29" s="10">
        <v>-3253017.9632705748</v>
      </c>
      <c r="D29" s="11" t="s">
        <v>3</v>
      </c>
      <c r="E29" s="1"/>
    </row>
    <row r="30" spans="1:5" x14ac:dyDescent="0.25">
      <c r="A30" s="1"/>
      <c r="B30" s="26" t="s">
        <v>138</v>
      </c>
      <c r="C30" s="54"/>
      <c r="D30" s="19"/>
      <c r="E30" s="1"/>
    </row>
    <row r="31" spans="1:5" x14ac:dyDescent="0.25">
      <c r="A31" s="1"/>
      <c r="B31" s="72" t="s">
        <v>139</v>
      </c>
      <c r="C31" s="10">
        <v>0</v>
      </c>
      <c r="D31" s="11" t="s">
        <v>3</v>
      </c>
      <c r="E31" s="1"/>
    </row>
    <row r="32" spans="1:5" x14ac:dyDescent="0.25">
      <c r="A32" s="1"/>
      <c r="B32" s="53" t="s">
        <v>239</v>
      </c>
      <c r="C32" s="33">
        <v>281300525.23654914</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XqH9Dw5m+0rS2tUu+841TRg/fPa2WzpMYrSVr9Er2haOmSY4Dd0TmZAihttxAMM2Yq6+Ww7Xd/9hV/ymmted1Q==" saltValue="A4oSk64RmRmO97uN6sGYAw=="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1" t="s">
        <v>44</v>
      </c>
      <c r="C4" s="102"/>
      <c r="D4" s="102"/>
      <c r="E4" s="102"/>
      <c r="F4" s="102"/>
      <c r="G4" s="102"/>
      <c r="H4" s="103"/>
      <c r="I4" s="1"/>
    </row>
    <row r="5" spans="1:9" x14ac:dyDescent="0.25">
      <c r="A5" s="1"/>
      <c r="B5" s="104" t="s">
        <v>36</v>
      </c>
      <c r="C5" s="105"/>
      <c r="D5" s="105"/>
      <c r="E5" s="105"/>
      <c r="F5" s="106"/>
      <c r="G5" s="47">
        <v>85467454.418774232</v>
      </c>
      <c r="H5" s="14" t="s">
        <v>3</v>
      </c>
      <c r="I5" s="1"/>
    </row>
    <row r="6" spans="1:9" x14ac:dyDescent="0.25">
      <c r="A6" s="1"/>
      <c r="B6" s="104" t="s">
        <v>37</v>
      </c>
      <c r="C6" s="105"/>
      <c r="D6" s="105"/>
      <c r="E6" s="105"/>
      <c r="F6" s="106"/>
      <c r="G6" s="22">
        <f>G5*'Fane 13. Nøgletal'!C33</f>
        <v>1709349.0883754846</v>
      </c>
      <c r="H6" s="14" t="s">
        <v>3</v>
      </c>
      <c r="I6" s="1"/>
    </row>
    <row r="7" spans="1:9" x14ac:dyDescent="0.25">
      <c r="A7" s="1"/>
      <c r="B7" s="53"/>
      <c r="C7" s="54"/>
      <c r="D7" s="54"/>
      <c r="E7" s="54"/>
      <c r="F7" s="54"/>
      <c r="G7" s="35"/>
      <c r="H7" s="19"/>
      <c r="I7" s="1"/>
    </row>
    <row r="8" spans="1:9" x14ac:dyDescent="0.25">
      <c r="A8" s="1"/>
      <c r="B8" s="1"/>
      <c r="C8" s="1"/>
      <c r="D8" s="1"/>
      <c r="E8" s="1"/>
      <c r="F8" s="1"/>
      <c r="G8" s="36"/>
      <c r="H8" s="1"/>
      <c r="I8" s="1"/>
    </row>
    <row r="9" spans="1:9" x14ac:dyDescent="0.25">
      <c r="A9" s="1"/>
      <c r="B9" s="101" t="s">
        <v>45</v>
      </c>
      <c r="C9" s="102"/>
      <c r="D9" s="102"/>
      <c r="E9" s="102"/>
      <c r="F9" s="102"/>
      <c r="G9" s="102"/>
      <c r="H9" s="103"/>
      <c r="I9" s="1"/>
    </row>
    <row r="10" spans="1:9" x14ac:dyDescent="0.25">
      <c r="A10" s="1"/>
      <c r="B10" s="104" t="s">
        <v>38</v>
      </c>
      <c r="C10" s="105"/>
      <c r="D10" s="105"/>
      <c r="E10" s="105"/>
      <c r="F10" s="106"/>
      <c r="G10" s="22">
        <f>(G5-G6)*(1+'Fane 13. Nøgletal'!C9)</f>
        <v>84821833.268094808</v>
      </c>
      <c r="H10" s="14" t="s">
        <v>3</v>
      </c>
      <c r="I10" s="1"/>
    </row>
    <row r="11" spans="1:9" x14ac:dyDescent="0.25">
      <c r="A11" s="1"/>
      <c r="B11" s="107" t="s">
        <v>228</v>
      </c>
      <c r="C11" s="108"/>
      <c r="D11" s="108"/>
      <c r="E11" s="108"/>
      <c r="F11" s="109"/>
      <c r="G11" s="47">
        <v>0</v>
      </c>
      <c r="H11" s="14" t="s">
        <v>3</v>
      </c>
      <c r="I11" s="1"/>
    </row>
    <row r="12" spans="1:9" x14ac:dyDescent="0.25">
      <c r="A12" s="1"/>
      <c r="B12" s="104" t="s">
        <v>39</v>
      </c>
      <c r="C12" s="105"/>
      <c r="D12" s="105"/>
      <c r="E12" s="105"/>
      <c r="F12" s="106"/>
      <c r="G12" s="22">
        <f>(G10+G11)*'Fane 13. Nøgletal'!C33</f>
        <v>1696436.6653618962</v>
      </c>
      <c r="H12" s="14" t="s">
        <v>3</v>
      </c>
      <c r="I12" s="1"/>
    </row>
    <row r="13" spans="1:9" x14ac:dyDescent="0.25">
      <c r="A13" s="1"/>
      <c r="B13" s="53"/>
      <c r="C13" s="54"/>
      <c r="D13" s="54"/>
      <c r="E13" s="54"/>
      <c r="F13" s="54"/>
      <c r="G13" s="35"/>
      <c r="H13" s="19"/>
      <c r="I13" s="1"/>
    </row>
    <row r="14" spans="1:9" x14ac:dyDescent="0.25">
      <c r="A14" s="1"/>
      <c r="B14" s="1"/>
      <c r="C14" s="1"/>
      <c r="D14" s="1"/>
      <c r="E14" s="1"/>
      <c r="F14" s="1"/>
      <c r="G14" s="36"/>
      <c r="H14" s="1"/>
      <c r="I14" s="1"/>
    </row>
    <row r="15" spans="1:9" x14ac:dyDescent="0.25">
      <c r="A15" s="1"/>
      <c r="B15" s="101" t="s">
        <v>46</v>
      </c>
      <c r="C15" s="102"/>
      <c r="D15" s="102"/>
      <c r="E15" s="102"/>
      <c r="F15" s="102"/>
      <c r="G15" s="102"/>
      <c r="H15" s="103"/>
      <c r="I15" s="1"/>
    </row>
    <row r="16" spans="1:9" x14ac:dyDescent="0.25">
      <c r="A16" s="1"/>
      <c r="B16" s="104" t="s">
        <v>40</v>
      </c>
      <c r="C16" s="105"/>
      <c r="D16" s="105"/>
      <c r="E16" s="105"/>
      <c r="F16" s="106"/>
      <c r="G16" s="22">
        <f>(G10+G11-G12)*(1+'Fane 13. Nøgletal'!C11)</f>
        <v>84530215.805319086</v>
      </c>
      <c r="H16" s="14" t="s">
        <v>3</v>
      </c>
      <c r="I16" s="1"/>
    </row>
    <row r="17" spans="1:9" x14ac:dyDescent="0.25">
      <c r="A17" s="1"/>
      <c r="B17" s="104" t="s">
        <v>100</v>
      </c>
      <c r="C17" s="105"/>
      <c r="D17" s="105"/>
      <c r="E17" s="105"/>
      <c r="F17" s="106"/>
      <c r="G17" s="47">
        <v>-995555.01990382432</v>
      </c>
      <c r="H17" s="14" t="s">
        <v>3</v>
      </c>
      <c r="I17" s="1"/>
    </row>
    <row r="18" spans="1:9" x14ac:dyDescent="0.25">
      <c r="A18" s="1"/>
      <c r="B18" s="107" t="s">
        <v>229</v>
      </c>
      <c r="C18" s="108"/>
      <c r="D18" s="108"/>
      <c r="E18" s="108"/>
      <c r="F18" s="109"/>
      <c r="G18" s="47">
        <v>4083456.1996477689</v>
      </c>
      <c r="H18" s="14" t="s">
        <v>3</v>
      </c>
      <c r="I18" s="1"/>
    </row>
    <row r="19" spans="1:9" x14ac:dyDescent="0.25">
      <c r="A19" s="1"/>
      <c r="B19" s="104" t="s">
        <v>41</v>
      </c>
      <c r="C19" s="105"/>
      <c r="D19" s="105"/>
      <c r="E19" s="105"/>
      <c r="F19" s="106"/>
      <c r="G19" s="22">
        <f>SUM(G16:G18)*'Fane 13. Nøgletal'!C33</f>
        <v>1752362.3397012607</v>
      </c>
      <c r="H19" s="14" t="s">
        <v>3</v>
      </c>
      <c r="I19" s="1"/>
    </row>
    <row r="20" spans="1:9" x14ac:dyDescent="0.25">
      <c r="A20" s="1"/>
      <c r="B20" s="53"/>
      <c r="C20" s="54"/>
      <c r="D20" s="54"/>
      <c r="E20" s="54"/>
      <c r="F20" s="54"/>
      <c r="G20" s="35"/>
      <c r="H20" s="19"/>
      <c r="I20" s="1"/>
    </row>
    <row r="21" spans="1:9" x14ac:dyDescent="0.25">
      <c r="A21" s="1"/>
      <c r="B21" s="1"/>
      <c r="C21" s="1"/>
      <c r="D21" s="1"/>
      <c r="E21" s="1"/>
      <c r="F21" s="1"/>
      <c r="G21" s="36"/>
      <c r="H21" s="1"/>
      <c r="I21" s="1"/>
    </row>
    <row r="22" spans="1:9" x14ac:dyDescent="0.25">
      <c r="A22" s="1"/>
      <c r="B22" s="101" t="s">
        <v>47</v>
      </c>
      <c r="C22" s="102"/>
      <c r="D22" s="102"/>
      <c r="E22" s="102"/>
      <c r="F22" s="102"/>
      <c r="G22" s="102"/>
      <c r="H22" s="103"/>
      <c r="I22" s="1"/>
    </row>
    <row r="23" spans="1:9" x14ac:dyDescent="0.25">
      <c r="A23" s="1"/>
      <c r="B23" s="104" t="s">
        <v>42</v>
      </c>
      <c r="C23" s="105"/>
      <c r="D23" s="105"/>
      <c r="E23" s="105"/>
      <c r="F23" s="106"/>
      <c r="G23" s="22">
        <f>(SUM(G16:G18)-G19)*(1+'Fane 13. Nøgletal'!C11)</f>
        <v>87316885.898868367</v>
      </c>
      <c r="H23" s="14" t="s">
        <v>3</v>
      </c>
      <c r="I23" s="1"/>
    </row>
    <row r="24" spans="1:9" x14ac:dyDescent="0.25">
      <c r="A24" s="1"/>
      <c r="B24" s="107" t="s">
        <v>230</v>
      </c>
      <c r="C24" s="108"/>
      <c r="D24" s="108"/>
      <c r="E24" s="108"/>
      <c r="F24" s="109"/>
      <c r="G24" s="47">
        <v>6142832.0038235709</v>
      </c>
      <c r="H24" s="14" t="s">
        <v>3</v>
      </c>
      <c r="I24" s="1"/>
    </row>
    <row r="25" spans="1:9" x14ac:dyDescent="0.25">
      <c r="A25" s="1"/>
      <c r="B25" s="104" t="s">
        <v>43</v>
      </c>
      <c r="C25" s="105"/>
      <c r="D25" s="105"/>
      <c r="E25" s="105"/>
      <c r="F25" s="106"/>
      <c r="G25" s="22">
        <f>(G23+G24)*'Fane 13. Nøgletal'!C33</f>
        <v>1869194.3580538386</v>
      </c>
      <c r="H25" s="14" t="s">
        <v>3</v>
      </c>
      <c r="I25" s="1"/>
    </row>
    <row r="26" spans="1:9" x14ac:dyDescent="0.25">
      <c r="A26" s="1"/>
      <c r="B26" s="53"/>
      <c r="C26" s="54"/>
      <c r="D26" s="54"/>
      <c r="E26" s="54"/>
      <c r="F26" s="54"/>
      <c r="G26" s="35"/>
      <c r="H26" s="19"/>
      <c r="I26" s="1"/>
    </row>
    <row r="27" spans="1:9" x14ac:dyDescent="0.25">
      <c r="A27" s="1"/>
      <c r="B27" s="1"/>
      <c r="C27" s="1"/>
      <c r="D27" s="1"/>
      <c r="E27" s="1"/>
      <c r="F27" s="1"/>
      <c r="G27" s="36"/>
      <c r="H27" s="1"/>
      <c r="I27" s="1"/>
    </row>
    <row r="28" spans="1:9" x14ac:dyDescent="0.25">
      <c r="A28" s="1"/>
      <c r="B28" s="101" t="s">
        <v>121</v>
      </c>
      <c r="C28" s="102"/>
      <c r="D28" s="102"/>
      <c r="E28" s="102"/>
      <c r="F28" s="102"/>
      <c r="G28" s="102"/>
      <c r="H28" s="103"/>
      <c r="I28" s="1"/>
    </row>
    <row r="29" spans="1:9" x14ac:dyDescent="0.25">
      <c r="A29" s="1"/>
      <c r="B29" s="104" t="s">
        <v>50</v>
      </c>
      <c r="C29" s="105"/>
      <c r="D29" s="105"/>
      <c r="E29" s="105"/>
      <c r="F29" s="106"/>
      <c r="G29" s="22">
        <f>(G23+G24-G25)*(1+'Fane 13. Nøgletal'!C13)</f>
        <v>92707927.931882679</v>
      </c>
      <c r="H29" s="14" t="s">
        <v>3</v>
      </c>
      <c r="I29" s="1"/>
    </row>
    <row r="30" spans="1:9" x14ac:dyDescent="0.25">
      <c r="A30" s="1"/>
      <c r="B30" s="104" t="s">
        <v>231</v>
      </c>
      <c r="C30" s="105"/>
      <c r="D30" s="105"/>
      <c r="E30" s="105"/>
      <c r="F30" s="106"/>
      <c r="G30" s="47">
        <v>-1808000.8545853335</v>
      </c>
      <c r="H30" s="14" t="s">
        <v>3</v>
      </c>
      <c r="I30" s="1"/>
    </row>
    <row r="31" spans="1:9" x14ac:dyDescent="0.25">
      <c r="A31" s="1"/>
      <c r="B31" s="104" t="s">
        <v>115</v>
      </c>
      <c r="C31" s="105"/>
      <c r="D31" s="105"/>
      <c r="E31" s="105"/>
      <c r="F31" s="106"/>
      <c r="G31" s="22">
        <f>(G29+G30)*'Fane 13. Nøgletal'!C33</f>
        <v>1817998.5415459468</v>
      </c>
      <c r="H31" s="14" t="s">
        <v>3</v>
      </c>
      <c r="I31" s="1"/>
    </row>
    <row r="32" spans="1:9" x14ac:dyDescent="0.25">
      <c r="A32" s="1"/>
      <c r="B32" s="53"/>
      <c r="C32" s="54"/>
      <c r="D32" s="54"/>
      <c r="E32" s="54"/>
      <c r="F32" s="54"/>
      <c r="G32" s="35"/>
      <c r="H32" s="19"/>
      <c r="I32" s="1"/>
    </row>
    <row r="33" spans="1:9" x14ac:dyDescent="0.25">
      <c r="A33" s="1"/>
      <c r="B33" s="1"/>
      <c r="C33" s="1"/>
      <c r="D33" s="1"/>
      <c r="E33" s="1"/>
      <c r="F33" s="1"/>
      <c r="G33" s="36"/>
      <c r="H33" s="1"/>
      <c r="I33" s="1"/>
    </row>
    <row r="34" spans="1:9" x14ac:dyDescent="0.25">
      <c r="A34" s="1"/>
      <c r="B34" s="101" t="s">
        <v>122</v>
      </c>
      <c r="C34" s="102"/>
      <c r="D34" s="102"/>
      <c r="E34" s="102"/>
      <c r="F34" s="102"/>
      <c r="G34" s="102"/>
      <c r="H34" s="103"/>
      <c r="I34" s="1"/>
    </row>
    <row r="35" spans="1:9" x14ac:dyDescent="0.25">
      <c r="A35" s="1"/>
      <c r="B35" s="104" t="s">
        <v>69</v>
      </c>
      <c r="C35" s="105"/>
      <c r="D35" s="105"/>
      <c r="E35" s="105"/>
      <c r="F35" s="106"/>
      <c r="G35" s="22">
        <f>(G29+G30-G31)*(1+'Fane 13. Nøgletal'!C13)</f>
        <v>90168728.063887566</v>
      </c>
      <c r="H35" s="14" t="s">
        <v>3</v>
      </c>
      <c r="I35" s="1"/>
    </row>
    <row r="36" spans="1:9" x14ac:dyDescent="0.25">
      <c r="A36" s="1"/>
      <c r="B36" s="104" t="s">
        <v>232</v>
      </c>
      <c r="C36" s="105"/>
      <c r="D36" s="105"/>
      <c r="E36" s="105"/>
      <c r="F36" s="106"/>
      <c r="G36" s="47">
        <v>2031842.0682432202</v>
      </c>
      <c r="H36" s="14" t="s">
        <v>3</v>
      </c>
      <c r="I36" s="1"/>
    </row>
    <row r="37" spans="1:9" x14ac:dyDescent="0.25">
      <c r="A37" s="1"/>
      <c r="B37" s="104" t="s">
        <v>123</v>
      </c>
      <c r="C37" s="105"/>
      <c r="D37" s="105"/>
      <c r="E37" s="105"/>
      <c r="F37" s="106"/>
      <c r="G37" s="22">
        <f>(G35+G36)*'Fane 13. Nøgletal'!C33</f>
        <v>1844011.4026426158</v>
      </c>
      <c r="H37" s="14" t="s">
        <v>3</v>
      </c>
      <c r="I37" s="1"/>
    </row>
    <row r="38" spans="1:9" x14ac:dyDescent="0.25">
      <c r="A38" s="1"/>
      <c r="B38" s="53"/>
      <c r="C38" s="54"/>
      <c r="D38" s="54"/>
      <c r="E38" s="54"/>
      <c r="F38" s="54"/>
      <c r="G38" s="35"/>
      <c r="H38" s="19"/>
      <c r="I38" s="1"/>
    </row>
    <row r="39" spans="1:9" x14ac:dyDescent="0.25">
      <c r="A39" s="1"/>
      <c r="B39" s="1"/>
      <c r="C39" s="1"/>
      <c r="D39" s="1"/>
      <c r="E39" s="1"/>
      <c r="F39" s="1"/>
      <c r="G39" s="36"/>
      <c r="H39" s="1"/>
      <c r="I39" s="1"/>
    </row>
    <row r="40" spans="1:9" x14ac:dyDescent="0.25">
      <c r="A40" s="1"/>
      <c r="B40" s="101" t="s">
        <v>157</v>
      </c>
      <c r="C40" s="102"/>
      <c r="D40" s="102"/>
      <c r="E40" s="102"/>
      <c r="F40" s="102"/>
      <c r="G40" s="102"/>
      <c r="H40" s="103"/>
      <c r="I40" s="1"/>
    </row>
    <row r="41" spans="1:9" x14ac:dyDescent="0.25">
      <c r="A41" s="1"/>
      <c r="B41" s="104" t="s">
        <v>68</v>
      </c>
      <c r="C41" s="105"/>
      <c r="D41" s="105"/>
      <c r="E41" s="105"/>
      <c r="F41" s="106"/>
      <c r="G41" s="22">
        <f>(G35+G36-G37)*(1+'Fane 13. Nøgletal'!C15)</f>
        <v>93573252.220257953</v>
      </c>
      <c r="H41" s="14" t="s">
        <v>3</v>
      </c>
      <c r="I41" s="1"/>
    </row>
    <row r="42" spans="1:9" x14ac:dyDescent="0.25">
      <c r="A42" s="1"/>
      <c r="B42" s="104" t="s">
        <v>156</v>
      </c>
      <c r="C42" s="105"/>
      <c r="D42" s="105"/>
      <c r="E42" s="105"/>
      <c r="F42" s="106"/>
      <c r="G42" s="22">
        <v>3299452.2678441606</v>
      </c>
      <c r="H42" s="14" t="s">
        <v>3</v>
      </c>
      <c r="I42" s="1"/>
    </row>
    <row r="43" spans="1:9" x14ac:dyDescent="0.25">
      <c r="A43" s="1"/>
      <c r="B43" s="104" t="s">
        <v>166</v>
      </c>
      <c r="C43" s="105"/>
      <c r="D43" s="105"/>
      <c r="E43" s="105"/>
      <c r="F43" s="106"/>
      <c r="G43" s="22">
        <f>(G41+G42)*'Fane 13. Nøgletal'!C33</f>
        <v>1937454.0897620423</v>
      </c>
      <c r="H43" s="14" t="s">
        <v>3</v>
      </c>
      <c r="I43" s="1"/>
    </row>
    <row r="44" spans="1:9" x14ac:dyDescent="0.25">
      <c r="A44" s="1"/>
      <c r="B44" s="53"/>
      <c r="C44" s="54"/>
      <c r="D44" s="54"/>
      <c r="E44" s="54"/>
      <c r="F44" s="54"/>
      <c r="G44" s="35"/>
      <c r="H44" s="19"/>
      <c r="I44" s="1"/>
    </row>
    <row r="45" spans="1:9" x14ac:dyDescent="0.25">
      <c r="A45" s="1"/>
      <c r="B45" s="1"/>
      <c r="C45" s="1"/>
      <c r="D45" s="1"/>
      <c r="E45" s="1"/>
      <c r="F45" s="1"/>
      <c r="G45" s="36"/>
      <c r="H45" s="1"/>
      <c r="I45" s="1"/>
    </row>
    <row r="46" spans="1:9" x14ac:dyDescent="0.25">
      <c r="A46" s="1"/>
      <c r="B46" s="101" t="s">
        <v>158</v>
      </c>
      <c r="C46" s="102"/>
      <c r="D46" s="102"/>
      <c r="E46" s="102"/>
      <c r="F46" s="102"/>
      <c r="G46" s="102"/>
      <c r="H46" s="103"/>
      <c r="I46" s="1"/>
    </row>
    <row r="47" spans="1:9" x14ac:dyDescent="0.25">
      <c r="A47" s="1"/>
      <c r="B47" s="104" t="s">
        <v>112</v>
      </c>
      <c r="C47" s="105"/>
      <c r="D47" s="105"/>
      <c r="E47" s="105"/>
      <c r="F47" s="106"/>
      <c r="G47" s="22">
        <f>(G41+G42-G43)*(1+'Fane 13. Nøgletal'!C15)</f>
        <v>98314945.312520981</v>
      </c>
      <c r="H47" s="14" t="s">
        <v>3</v>
      </c>
      <c r="I47" s="1"/>
    </row>
    <row r="48" spans="1:9" x14ac:dyDescent="0.25">
      <c r="A48" s="1"/>
      <c r="B48" s="104" t="s">
        <v>206</v>
      </c>
      <c r="C48" s="105"/>
      <c r="D48" s="105"/>
      <c r="E48" s="105"/>
      <c r="F48" s="106"/>
      <c r="G48" s="22">
        <f>('Fane 2.1. Økonomisk ramme 2024'!C9+'Fane 2.1. Økonomisk ramme 2024'!C11+'Fane 2.1. Økonomisk ramme 2024'!C13)*(1+'Fane 13. Nøgletal'!C16)</f>
        <v>2480400.84979008</v>
      </c>
      <c r="H48" s="14" t="s">
        <v>3</v>
      </c>
      <c r="I48" s="1"/>
    </row>
    <row r="49" spans="1:9" x14ac:dyDescent="0.25">
      <c r="A49" s="1"/>
      <c r="B49" s="104" t="s">
        <v>167</v>
      </c>
      <c r="C49" s="105"/>
      <c r="D49" s="105"/>
      <c r="E49" s="105"/>
      <c r="F49" s="106"/>
      <c r="G49" s="22">
        <f>G47*'Fane 13. Nøgletal'!C33+G48*'Fane 13. Nøgletal'!C33</f>
        <v>2015906.9232462212</v>
      </c>
      <c r="H49" s="14" t="s">
        <v>3</v>
      </c>
      <c r="I49" s="1"/>
    </row>
    <row r="50" spans="1:9" x14ac:dyDescent="0.25">
      <c r="A50" s="1"/>
      <c r="B50" s="53"/>
      <c r="C50" s="54"/>
      <c r="D50" s="54"/>
      <c r="E50" s="54"/>
      <c r="F50" s="54"/>
      <c r="G50" s="35"/>
      <c r="H50" s="19"/>
      <c r="I50" s="1"/>
    </row>
    <row r="51" spans="1:9" x14ac:dyDescent="0.25">
      <c r="A51" s="1"/>
      <c r="B51" s="1"/>
      <c r="C51" s="1"/>
      <c r="D51" s="1"/>
      <c r="E51" s="1"/>
      <c r="F51" s="1"/>
      <c r="G51" s="36"/>
      <c r="H51" s="1"/>
      <c r="I51" s="1"/>
    </row>
    <row r="52" spans="1:9" x14ac:dyDescent="0.25">
      <c r="A52" s="1"/>
      <c r="B52" s="101" t="s">
        <v>133</v>
      </c>
      <c r="C52" s="102"/>
      <c r="D52" s="102"/>
      <c r="E52" s="102"/>
      <c r="F52" s="102"/>
      <c r="G52" s="102"/>
      <c r="H52" s="103"/>
      <c r="I52" s="1"/>
    </row>
    <row r="53" spans="1:9" x14ac:dyDescent="0.25">
      <c r="A53" s="1"/>
      <c r="B53" s="104" t="s">
        <v>134</v>
      </c>
      <c r="C53" s="105"/>
      <c r="D53" s="105"/>
      <c r="E53" s="105"/>
      <c r="F53" s="106"/>
      <c r="G53" s="22">
        <f>(G47+G48-G49)*(1+'Fane 13. Nøgletal'!C16)</f>
        <v>106760817.92958128</v>
      </c>
      <c r="H53" s="14" t="s">
        <v>3</v>
      </c>
      <c r="I53" s="1"/>
    </row>
    <row r="54" spans="1:9" x14ac:dyDescent="0.25">
      <c r="A54" s="1"/>
      <c r="B54" s="104" t="s">
        <v>135</v>
      </c>
      <c r="C54" s="105"/>
      <c r="D54" s="105"/>
      <c r="E54" s="105"/>
      <c r="F54" s="106"/>
      <c r="G54" s="22">
        <f>(G53)*'Fane 13. Nøgletal'!C33</f>
        <v>2135216.3585916259</v>
      </c>
      <c r="H54" s="14" t="s">
        <v>3</v>
      </c>
      <c r="I54" s="1"/>
    </row>
    <row r="55" spans="1:9" x14ac:dyDescent="0.25">
      <c r="A55" s="1"/>
      <c r="B55" s="53"/>
      <c r="C55" s="54"/>
      <c r="D55" s="54"/>
      <c r="E55" s="54"/>
      <c r="F55" s="54"/>
      <c r="G55" s="35"/>
      <c r="H55" s="19"/>
      <c r="I55" s="1"/>
    </row>
    <row r="56" spans="1:9" x14ac:dyDescent="0.25">
      <c r="A56" s="1"/>
      <c r="B56" s="1"/>
      <c r="C56" s="1"/>
      <c r="D56" s="1"/>
      <c r="E56" s="1"/>
      <c r="F56" s="1"/>
      <c r="G56" s="36"/>
      <c r="H56" s="1"/>
      <c r="I56" s="1"/>
    </row>
    <row r="57" spans="1:9" x14ac:dyDescent="0.25">
      <c r="A57" s="1"/>
      <c r="B57" s="101" t="s">
        <v>144</v>
      </c>
      <c r="C57" s="102"/>
      <c r="D57" s="102"/>
      <c r="E57" s="102"/>
      <c r="F57" s="102"/>
      <c r="G57" s="102"/>
      <c r="H57" s="103"/>
      <c r="I57" s="1"/>
    </row>
    <row r="58" spans="1:9" x14ac:dyDescent="0.25">
      <c r="A58" s="1"/>
      <c r="B58" s="104" t="s">
        <v>145</v>
      </c>
      <c r="C58" s="105"/>
      <c r="D58" s="105"/>
      <c r="E58" s="105"/>
      <c r="F58" s="106"/>
      <c r="G58" s="22">
        <f>(G53-G54)*(1+'Fane 13. Nøgletal'!C16)</f>
        <v>113079350.17792562</v>
      </c>
      <c r="H58" s="14" t="s">
        <v>3</v>
      </c>
      <c r="I58" s="1"/>
    </row>
    <row r="59" spans="1:9" x14ac:dyDescent="0.25">
      <c r="A59" s="1"/>
      <c r="B59" s="104" t="s">
        <v>146</v>
      </c>
      <c r="C59" s="105"/>
      <c r="D59" s="105"/>
      <c r="E59" s="105"/>
      <c r="F59" s="106"/>
      <c r="G59" s="22">
        <f>(G58)*'Fane 13. Nøgletal'!C33</f>
        <v>2261587.0035585123</v>
      </c>
      <c r="H59" s="14" t="s">
        <v>3</v>
      </c>
      <c r="I59" s="1"/>
    </row>
    <row r="60" spans="1:9" x14ac:dyDescent="0.25">
      <c r="A60" s="1"/>
      <c r="B60" s="53"/>
      <c r="C60" s="54"/>
      <c r="D60" s="54"/>
      <c r="E60" s="54"/>
      <c r="F60" s="54"/>
      <c r="G60" s="35"/>
      <c r="H60" s="19"/>
      <c r="I60" s="1"/>
    </row>
    <row r="61" spans="1:9" x14ac:dyDescent="0.25">
      <c r="A61" s="1"/>
      <c r="B61" s="1"/>
      <c r="C61" s="1"/>
      <c r="D61" s="1"/>
      <c r="E61" s="1"/>
      <c r="F61" s="1"/>
      <c r="G61" s="36"/>
      <c r="H61" s="1"/>
      <c r="I61" s="1"/>
    </row>
    <row r="62" spans="1:9" x14ac:dyDescent="0.25">
      <c r="A62" s="1"/>
      <c r="B62" s="101" t="s">
        <v>220</v>
      </c>
      <c r="C62" s="102"/>
      <c r="D62" s="102"/>
      <c r="E62" s="102"/>
      <c r="F62" s="102"/>
      <c r="G62" s="102"/>
      <c r="H62" s="103"/>
      <c r="I62" s="1"/>
    </row>
    <row r="63" spans="1:9" x14ac:dyDescent="0.25">
      <c r="A63" s="1"/>
      <c r="B63" s="104" t="s">
        <v>221</v>
      </c>
      <c r="C63" s="105"/>
      <c r="D63" s="105"/>
      <c r="E63" s="105"/>
      <c r="F63" s="106"/>
      <c r="G63" s="22">
        <f>(G58-G59)*(1+'Fane 13. Nøgletal'!C16)</f>
        <v>119771838.43885596</v>
      </c>
      <c r="H63" s="14" t="s">
        <v>3</v>
      </c>
      <c r="I63" s="1"/>
    </row>
    <row r="64" spans="1:9" x14ac:dyDescent="0.25">
      <c r="A64" s="1"/>
      <c r="B64" s="104" t="s">
        <v>222</v>
      </c>
      <c r="C64" s="105"/>
      <c r="D64" s="105"/>
      <c r="E64" s="105"/>
      <c r="F64" s="106"/>
      <c r="G64" s="22">
        <f>(G63)*'Fane 13. Nøgletal'!C33</f>
        <v>2395436.7687771195</v>
      </c>
      <c r="H64" s="14" t="s">
        <v>3</v>
      </c>
      <c r="I64" s="1"/>
    </row>
    <row r="65" spans="1:9" x14ac:dyDescent="0.25">
      <c r="A65" s="1"/>
      <c r="B65" s="53"/>
      <c r="C65" s="54"/>
      <c r="D65" s="54"/>
      <c r="E65" s="54"/>
      <c r="F65" s="54"/>
      <c r="G65" s="50"/>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RwXfu9fjlyx+5wF6/ruP8E+Efi17QUiGw/uf99/XSZ9xCG2VwwGsYLoE1L+8NmjIAONZZ+PDkeri+5LuG+XImw==" saltValue="2dxAroVlOYstMxn63N0B0g=="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4.570312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1" t="s">
        <v>48</v>
      </c>
      <c r="C4" s="102"/>
      <c r="D4" s="102"/>
      <c r="E4" s="102"/>
      <c r="F4" s="102"/>
      <c r="G4" s="102"/>
      <c r="H4" s="103"/>
      <c r="I4" s="1"/>
    </row>
    <row r="5" spans="1:9" x14ac:dyDescent="0.25">
      <c r="A5" s="1"/>
      <c r="B5" s="104" t="s">
        <v>51</v>
      </c>
      <c r="C5" s="105"/>
      <c r="D5" s="105"/>
      <c r="E5" s="105"/>
      <c r="F5" s="106"/>
      <c r="G5" s="47">
        <v>67182599.401513278</v>
      </c>
      <c r="H5" s="14" t="s">
        <v>3</v>
      </c>
      <c r="I5" s="1"/>
    </row>
    <row r="6" spans="1:9" x14ac:dyDescent="0.25">
      <c r="A6" s="1"/>
      <c r="B6" s="104" t="s">
        <v>49</v>
      </c>
      <c r="C6" s="105"/>
      <c r="D6" s="105"/>
      <c r="E6" s="105"/>
      <c r="F6" s="106"/>
      <c r="G6" s="22">
        <f>G5*'Fane 13. Nøgletal'!C21</f>
        <v>611361.6545537709</v>
      </c>
      <c r="H6" s="14" t="s">
        <v>3</v>
      </c>
      <c r="I6" s="1"/>
    </row>
    <row r="7" spans="1:9" x14ac:dyDescent="0.25">
      <c r="A7" s="1"/>
      <c r="B7" s="53"/>
      <c r="C7" s="54"/>
      <c r="D7" s="54"/>
      <c r="E7" s="54"/>
      <c r="F7" s="54"/>
      <c r="G7" s="54"/>
      <c r="H7" s="19"/>
      <c r="I7" s="1"/>
    </row>
    <row r="8" spans="1:9" x14ac:dyDescent="0.25">
      <c r="A8" s="1"/>
      <c r="B8" s="1"/>
      <c r="C8" s="1"/>
      <c r="D8" s="1"/>
      <c r="E8" s="1"/>
      <c r="F8" s="1"/>
      <c r="G8" s="1"/>
      <c r="H8" s="1"/>
      <c r="I8" s="1"/>
    </row>
    <row r="9" spans="1:9" x14ac:dyDescent="0.25">
      <c r="A9" s="1"/>
      <c r="B9" s="101" t="s">
        <v>52</v>
      </c>
      <c r="C9" s="102"/>
      <c r="D9" s="102"/>
      <c r="E9" s="102"/>
      <c r="F9" s="102"/>
      <c r="G9" s="102"/>
      <c r="H9" s="103"/>
      <c r="I9" s="1"/>
    </row>
    <row r="10" spans="1:9" x14ac:dyDescent="0.25">
      <c r="A10" s="1"/>
      <c r="B10" s="104" t="s">
        <v>53</v>
      </c>
      <c r="C10" s="105"/>
      <c r="D10" s="105"/>
      <c r="E10" s="105"/>
      <c r="F10" s="106"/>
      <c r="G10" s="22">
        <f>(G5-G6)*(1+'Fane 13. Nøgletal'!C9)</f>
        <v>67416692.466345891</v>
      </c>
      <c r="H10" s="14" t="s">
        <v>3</v>
      </c>
      <c r="I10" s="1"/>
    </row>
    <row r="11" spans="1:9" x14ac:dyDescent="0.25">
      <c r="A11" s="1"/>
      <c r="B11" s="107" t="s">
        <v>54</v>
      </c>
      <c r="C11" s="108"/>
      <c r="D11" s="108"/>
      <c r="E11" s="108"/>
      <c r="F11" s="109"/>
      <c r="G11" s="48">
        <v>0</v>
      </c>
      <c r="H11" s="14" t="s">
        <v>3</v>
      </c>
      <c r="I11" s="1"/>
    </row>
    <row r="12" spans="1:9" x14ac:dyDescent="0.25">
      <c r="A12" s="1"/>
      <c r="B12" s="104" t="s">
        <v>55</v>
      </c>
      <c r="C12" s="105"/>
      <c r="D12" s="105"/>
      <c r="E12" s="105"/>
      <c r="F12" s="106"/>
      <c r="G12" s="22">
        <f>G10*'Fane 13. Nøgletal'!C21+G11*'Fane 13. Nøgletal'!C22</f>
        <v>613491.90144374769</v>
      </c>
      <c r="H12" s="14" t="s">
        <v>3</v>
      </c>
      <c r="I12" s="1"/>
    </row>
    <row r="13" spans="1:9" x14ac:dyDescent="0.25">
      <c r="A13" s="1"/>
      <c r="B13" s="53"/>
      <c r="C13" s="54"/>
      <c r="D13" s="54"/>
      <c r="E13" s="54"/>
      <c r="F13" s="54"/>
      <c r="G13" s="54"/>
      <c r="H13" s="19"/>
      <c r="I13" s="1"/>
    </row>
    <row r="14" spans="1:9" x14ac:dyDescent="0.25">
      <c r="A14" s="1"/>
      <c r="B14" s="1"/>
      <c r="C14" s="1"/>
      <c r="D14" s="1"/>
      <c r="E14" s="1"/>
      <c r="F14" s="1"/>
      <c r="G14" s="1"/>
      <c r="H14" s="1"/>
      <c r="I14" s="1"/>
    </row>
    <row r="15" spans="1:9" x14ac:dyDescent="0.25">
      <c r="A15" s="1"/>
      <c r="B15" s="101" t="s">
        <v>56</v>
      </c>
      <c r="C15" s="102"/>
      <c r="D15" s="102"/>
      <c r="E15" s="102"/>
      <c r="F15" s="102"/>
      <c r="G15" s="102"/>
      <c r="H15" s="103"/>
      <c r="I15" s="1"/>
    </row>
    <row r="16" spans="1:9" x14ac:dyDescent="0.25">
      <c r="A16" s="1"/>
      <c r="B16" s="104" t="s">
        <v>57</v>
      </c>
      <c r="C16" s="105"/>
      <c r="D16" s="105"/>
      <c r="E16" s="105"/>
      <c r="F16" s="106"/>
      <c r="G16" s="22">
        <f>(G10+G11-G12)*(1+'Fane 13. Nøgletal'!C11)</f>
        <v>67932174.654448986</v>
      </c>
      <c r="H16" s="14" t="s">
        <v>3</v>
      </c>
      <c r="I16" s="1"/>
    </row>
    <row r="17" spans="1:9" x14ac:dyDescent="0.25">
      <c r="A17" s="1"/>
      <c r="B17" s="104" t="s">
        <v>101</v>
      </c>
      <c r="C17" s="105"/>
      <c r="D17" s="105"/>
      <c r="E17" s="105"/>
      <c r="F17" s="106"/>
      <c r="G17" s="47">
        <v>1137877.5621923506</v>
      </c>
      <c r="H17" s="14" t="s">
        <v>3</v>
      </c>
      <c r="I17" s="1"/>
    </row>
    <row r="18" spans="1:9" x14ac:dyDescent="0.25">
      <c r="A18" s="1"/>
      <c r="B18" s="107" t="s">
        <v>58</v>
      </c>
      <c r="C18" s="108"/>
      <c r="D18" s="108"/>
      <c r="E18" s="108"/>
      <c r="F18" s="109"/>
      <c r="G18" s="47">
        <v>910366.57353398984</v>
      </c>
      <c r="H18" s="14" t="s">
        <v>3</v>
      </c>
      <c r="I18" s="1"/>
    </row>
    <row r="19" spans="1:9" x14ac:dyDescent="0.25">
      <c r="A19" s="1"/>
      <c r="B19" s="104" t="s">
        <v>59</v>
      </c>
      <c r="C19" s="105"/>
      <c r="D19" s="105"/>
      <c r="E19" s="105"/>
      <c r="F19" s="106"/>
      <c r="G19" s="22">
        <f>(G16+G17+G18)*'Fane 13. Nøgletal'!C23</f>
        <v>608829.64347452531</v>
      </c>
      <c r="H19" s="14" t="s">
        <v>3</v>
      </c>
      <c r="I19" s="1"/>
    </row>
    <row r="20" spans="1:9" x14ac:dyDescent="0.25">
      <c r="A20" s="1"/>
      <c r="B20" s="53"/>
      <c r="C20" s="54"/>
      <c r="D20" s="54"/>
      <c r="E20" s="54"/>
      <c r="F20" s="54"/>
      <c r="G20" s="54"/>
      <c r="H20" s="19"/>
      <c r="I20" s="1"/>
    </row>
    <row r="21" spans="1:9" x14ac:dyDescent="0.25">
      <c r="A21" s="1"/>
      <c r="B21" s="1"/>
      <c r="C21" s="1"/>
      <c r="D21" s="1"/>
      <c r="E21" s="1"/>
      <c r="F21" s="1"/>
      <c r="G21" s="1"/>
      <c r="H21" s="1"/>
      <c r="I21" s="1"/>
    </row>
    <row r="22" spans="1:9" x14ac:dyDescent="0.25">
      <c r="A22" s="1"/>
      <c r="B22" s="101" t="s">
        <v>60</v>
      </c>
      <c r="C22" s="102"/>
      <c r="D22" s="102"/>
      <c r="E22" s="102"/>
      <c r="F22" s="102"/>
      <c r="G22" s="102"/>
      <c r="H22" s="103"/>
      <c r="I22" s="1"/>
    </row>
    <row r="23" spans="1:9" x14ac:dyDescent="0.25">
      <c r="A23" s="1"/>
      <c r="B23" s="104" t="s">
        <v>61</v>
      </c>
      <c r="C23" s="105"/>
      <c r="D23" s="105"/>
      <c r="E23" s="105"/>
      <c r="F23" s="106"/>
      <c r="G23" s="22">
        <f>(SUM(G16:G18)-G19)*(1+'Fane 13. Nøgletal'!C11)</f>
        <v>70543969.003280059</v>
      </c>
      <c r="H23" s="14" t="s">
        <v>3</v>
      </c>
      <c r="I23" s="1"/>
    </row>
    <row r="24" spans="1:9" x14ac:dyDescent="0.25">
      <c r="A24" s="1"/>
      <c r="B24" s="107" t="s">
        <v>62</v>
      </c>
      <c r="C24" s="108"/>
      <c r="D24" s="108"/>
      <c r="E24" s="108"/>
      <c r="F24" s="109"/>
      <c r="G24" s="47">
        <v>1055761.3146385802</v>
      </c>
      <c r="H24" s="14" t="s">
        <v>3</v>
      </c>
      <c r="I24" s="1"/>
    </row>
    <row r="25" spans="1:9" x14ac:dyDescent="0.25">
      <c r="A25" s="1"/>
      <c r="B25" s="104" t="s">
        <v>63</v>
      </c>
      <c r="C25" s="105"/>
      <c r="D25" s="105"/>
      <c r="E25" s="105"/>
      <c r="F25" s="106"/>
      <c r="G25" s="22">
        <f>G23*'Fane 13. Nøgletal'!C23+G24*'Fane 13. Nøgletal'!C24</f>
        <v>643716.15166427218</v>
      </c>
      <c r="H25" s="14" t="s">
        <v>3</v>
      </c>
      <c r="I25" s="1"/>
    </row>
    <row r="26" spans="1:9" x14ac:dyDescent="0.25">
      <c r="A26" s="1"/>
      <c r="B26" s="53"/>
      <c r="C26" s="54"/>
      <c r="D26" s="54"/>
      <c r="E26" s="54"/>
      <c r="F26" s="54"/>
      <c r="G26" s="54"/>
      <c r="H26" s="19"/>
      <c r="I26" s="1"/>
    </row>
    <row r="27" spans="1:9" x14ac:dyDescent="0.25">
      <c r="A27" s="1"/>
      <c r="B27" s="1"/>
      <c r="C27" s="1"/>
      <c r="D27" s="1"/>
      <c r="E27" s="1"/>
      <c r="F27" s="1"/>
      <c r="G27" s="1"/>
      <c r="H27" s="1"/>
      <c r="I27" s="1"/>
    </row>
    <row r="28" spans="1:9" x14ac:dyDescent="0.25">
      <c r="A28" s="1"/>
      <c r="B28" s="101" t="s">
        <v>119</v>
      </c>
      <c r="C28" s="102"/>
      <c r="D28" s="102"/>
      <c r="E28" s="102"/>
      <c r="F28" s="102"/>
      <c r="G28" s="102"/>
      <c r="H28" s="103"/>
      <c r="I28" s="1"/>
    </row>
    <row r="29" spans="1:9" x14ac:dyDescent="0.25">
      <c r="A29" s="1"/>
      <c r="B29" s="104" t="s">
        <v>64</v>
      </c>
      <c r="C29" s="105"/>
      <c r="D29" s="105"/>
      <c r="E29" s="105"/>
      <c r="F29" s="106"/>
      <c r="G29" s="22">
        <f>(G23+G24-G25)*(1+'Fane 13. Nøgletal'!C13)</f>
        <v>71821677.539082676</v>
      </c>
      <c r="H29" s="14" t="s">
        <v>3</v>
      </c>
      <c r="I29" s="1"/>
    </row>
    <row r="30" spans="1:9" x14ac:dyDescent="0.25">
      <c r="A30" s="1"/>
      <c r="B30" s="104" t="s">
        <v>113</v>
      </c>
      <c r="C30" s="105"/>
      <c r="D30" s="105"/>
      <c r="E30" s="105"/>
      <c r="F30" s="106"/>
      <c r="G30" s="47">
        <v>6174871.8456751201</v>
      </c>
      <c r="H30" s="14" t="s">
        <v>3</v>
      </c>
      <c r="I30" s="1"/>
    </row>
    <row r="31" spans="1:9" x14ac:dyDescent="0.25">
      <c r="A31" s="1"/>
      <c r="B31" s="104" t="s">
        <v>120</v>
      </c>
      <c r="C31" s="105"/>
      <c r="D31" s="105"/>
      <c r="E31" s="105"/>
      <c r="F31" s="106"/>
      <c r="G31" s="22">
        <f>(G29+G30)*'Fane 13. Nøgletal'!C25</f>
        <v>2144905.1080808397</v>
      </c>
      <c r="H31" s="14" t="s">
        <v>3</v>
      </c>
      <c r="I31" s="1"/>
    </row>
    <row r="32" spans="1:9" x14ac:dyDescent="0.25">
      <c r="A32" s="1"/>
      <c r="B32" s="53"/>
      <c r="C32" s="54"/>
      <c r="D32" s="54"/>
      <c r="E32" s="54"/>
      <c r="F32" s="54"/>
      <c r="G32" s="54"/>
      <c r="H32" s="19"/>
      <c r="I32" s="1"/>
    </row>
    <row r="33" spans="1:9" x14ac:dyDescent="0.25">
      <c r="A33" s="1"/>
      <c r="B33" s="1"/>
      <c r="C33" s="1"/>
      <c r="D33" s="1"/>
      <c r="E33" s="1"/>
      <c r="F33" s="1"/>
      <c r="G33" s="1"/>
      <c r="H33" s="1"/>
      <c r="I33" s="1"/>
    </row>
    <row r="34" spans="1:9" x14ac:dyDescent="0.25">
      <c r="A34" s="1"/>
      <c r="B34" s="101" t="s">
        <v>124</v>
      </c>
      <c r="C34" s="102"/>
      <c r="D34" s="102"/>
      <c r="E34" s="102"/>
      <c r="F34" s="102"/>
      <c r="G34" s="102"/>
      <c r="H34" s="103"/>
      <c r="I34" s="1"/>
    </row>
    <row r="35" spans="1:9" x14ac:dyDescent="0.25">
      <c r="A35" s="1"/>
      <c r="B35" s="104" t="s">
        <v>67</v>
      </c>
      <c r="C35" s="105"/>
      <c r="D35" s="105"/>
      <c r="E35" s="105"/>
      <c r="F35" s="106"/>
      <c r="G35" s="22">
        <f>(G29+G30-G31)*(1+'Fane 13. Nøgletal'!C13)</f>
        <v>76777034.336852431</v>
      </c>
      <c r="H35" s="14" t="s">
        <v>3</v>
      </c>
      <c r="I35" s="1"/>
    </row>
    <row r="36" spans="1:9" x14ac:dyDescent="0.25">
      <c r="A36" s="1"/>
      <c r="B36" s="104" t="s">
        <v>129</v>
      </c>
      <c r="C36" s="105"/>
      <c r="D36" s="105"/>
      <c r="E36" s="105"/>
      <c r="F36" s="106"/>
      <c r="G36" s="22">
        <v>1111688.9875853201</v>
      </c>
      <c r="H36" s="14" t="s">
        <v>3</v>
      </c>
      <c r="I36" s="1"/>
    </row>
    <row r="37" spans="1:9" x14ac:dyDescent="0.25">
      <c r="A37" s="1"/>
      <c r="B37" s="104" t="s">
        <v>125</v>
      </c>
      <c r="C37" s="105"/>
      <c r="D37" s="105"/>
      <c r="E37" s="105"/>
      <c r="F37" s="106"/>
      <c r="G37" s="22">
        <f>G35*'Fane 13. Nøgletal'!C25+G36*'Fane 13. Nøgletal'!C26</f>
        <v>2127821.4412797047</v>
      </c>
      <c r="H37" s="14" t="s">
        <v>3</v>
      </c>
      <c r="I37" s="1"/>
    </row>
    <row r="38" spans="1:9" x14ac:dyDescent="0.25">
      <c r="A38" s="1"/>
      <c r="B38" s="53"/>
      <c r="C38" s="54"/>
      <c r="D38" s="54"/>
      <c r="E38" s="54"/>
      <c r="F38" s="54"/>
      <c r="G38" s="54"/>
      <c r="H38" s="19"/>
      <c r="I38" s="1"/>
    </row>
    <row r="39" spans="1:9" x14ac:dyDescent="0.25">
      <c r="A39" s="1"/>
      <c r="B39" s="1"/>
      <c r="C39" s="1"/>
      <c r="D39" s="1"/>
      <c r="E39" s="1"/>
      <c r="F39" s="1"/>
      <c r="G39" s="1"/>
      <c r="H39" s="1"/>
      <c r="I39" s="1"/>
    </row>
    <row r="40" spans="1:9" x14ac:dyDescent="0.25">
      <c r="A40" s="1"/>
      <c r="B40" s="101" t="s">
        <v>159</v>
      </c>
      <c r="C40" s="102"/>
      <c r="D40" s="102"/>
      <c r="E40" s="102"/>
      <c r="F40" s="102"/>
      <c r="G40" s="102"/>
      <c r="H40" s="103"/>
      <c r="I40" s="1"/>
    </row>
    <row r="41" spans="1:9" x14ac:dyDescent="0.25">
      <c r="A41" s="1"/>
      <c r="B41" s="104" t="s">
        <v>66</v>
      </c>
      <c r="C41" s="105"/>
      <c r="D41" s="105"/>
      <c r="E41" s="105"/>
      <c r="F41" s="106"/>
      <c r="G41" s="22">
        <f>(G35+G36-G37)*(1+'Fane 13. Nøgletal'!C15)</f>
        <v>78457989.990198478</v>
      </c>
      <c r="H41" s="14" t="s">
        <v>3</v>
      </c>
      <c r="I41" s="1"/>
    </row>
    <row r="42" spans="1:9" x14ac:dyDescent="0.25">
      <c r="A42" s="1"/>
      <c r="B42" s="104" t="s">
        <v>169</v>
      </c>
      <c r="C42" s="105"/>
      <c r="D42" s="105"/>
      <c r="E42" s="105"/>
      <c r="F42" s="106"/>
      <c r="G42" s="9">
        <v>3850024.8364473605</v>
      </c>
      <c r="H42" s="14" t="s">
        <v>3</v>
      </c>
      <c r="I42" s="1"/>
    </row>
    <row r="43" spans="1:9" x14ac:dyDescent="0.25">
      <c r="A43" s="1"/>
      <c r="B43" s="104" t="s">
        <v>65</v>
      </c>
      <c r="C43" s="105"/>
      <c r="D43" s="105"/>
      <c r="E43" s="105"/>
      <c r="F43" s="106"/>
      <c r="G43" s="63">
        <f>(G41+G42)*'Fane 13. Nøgletal'!C27</f>
        <v>0</v>
      </c>
      <c r="H43" s="14" t="s">
        <v>3</v>
      </c>
      <c r="I43" s="1"/>
    </row>
    <row r="44" spans="1:9" x14ac:dyDescent="0.25">
      <c r="A44" s="1"/>
      <c r="B44" s="53"/>
      <c r="C44" s="54"/>
      <c r="D44" s="54"/>
      <c r="E44" s="54"/>
      <c r="F44" s="54"/>
      <c r="G44" s="54"/>
      <c r="H44" s="19"/>
      <c r="I44" s="1"/>
    </row>
    <row r="45" spans="1:9" ht="12" customHeight="1" x14ac:dyDescent="0.25">
      <c r="A45" s="1"/>
      <c r="B45" s="1"/>
      <c r="C45" s="1"/>
      <c r="D45" s="1"/>
      <c r="E45" s="1"/>
      <c r="F45" s="1"/>
      <c r="G45" s="1"/>
      <c r="H45" s="1"/>
      <c r="I45" s="1"/>
    </row>
    <row r="46" spans="1:9" x14ac:dyDescent="0.25">
      <c r="A46" s="1"/>
      <c r="B46" s="101" t="s">
        <v>160</v>
      </c>
      <c r="C46" s="102"/>
      <c r="D46" s="102"/>
      <c r="E46" s="102"/>
      <c r="F46" s="102"/>
      <c r="G46" s="102"/>
      <c r="H46" s="103"/>
      <c r="I46" s="1"/>
    </row>
    <row r="47" spans="1:9" x14ac:dyDescent="0.25">
      <c r="A47" s="1"/>
      <c r="B47" s="104" t="s">
        <v>114</v>
      </c>
      <c r="C47" s="105"/>
      <c r="D47" s="105"/>
      <c r="E47" s="105"/>
      <c r="F47" s="106"/>
      <c r="G47" s="22">
        <f>(G41+G42-G43)*(1+'Fane 13. Nøgletal'!C15)</f>
        <v>85238180.154474437</v>
      </c>
      <c r="H47" s="14" t="s">
        <v>3</v>
      </c>
      <c r="I47" s="1"/>
    </row>
    <row r="48" spans="1:9" x14ac:dyDescent="0.25">
      <c r="A48" s="1"/>
      <c r="B48" s="104" t="s">
        <v>210</v>
      </c>
      <c r="C48" s="105"/>
      <c r="D48" s="105"/>
      <c r="E48" s="105"/>
      <c r="F48" s="106"/>
      <c r="G48" s="22">
        <f>('Fane 2.1. Økonomisk ramme 2024'!C10+'Fane 2.1. Økonomisk ramme 2024'!C12+'Fane 2.1. Økonomisk ramme 2024'!C14)*(1+'Fane 13. Nøgletal'!C16)</f>
        <v>922461.84197887999</v>
      </c>
      <c r="H48" s="14" t="s">
        <v>3</v>
      </c>
      <c r="I48" s="1"/>
    </row>
    <row r="49" spans="1:9" x14ac:dyDescent="0.25">
      <c r="A49" s="1"/>
      <c r="B49" s="104" t="s">
        <v>211</v>
      </c>
      <c r="C49" s="105"/>
      <c r="D49" s="105"/>
      <c r="E49" s="105"/>
      <c r="F49" s="106"/>
      <c r="G49" s="63">
        <v>0</v>
      </c>
      <c r="H49" s="14" t="s">
        <v>3</v>
      </c>
      <c r="I49" s="1"/>
    </row>
    <row r="50" spans="1:9" x14ac:dyDescent="0.25">
      <c r="A50" s="1"/>
      <c r="B50" s="53"/>
      <c r="C50" s="54"/>
      <c r="D50" s="54"/>
      <c r="E50" s="54"/>
      <c r="F50" s="54"/>
      <c r="G50" s="54"/>
      <c r="H50" s="19"/>
      <c r="I50" s="1"/>
    </row>
    <row r="51" spans="1:9" x14ac:dyDescent="0.25">
      <c r="A51" s="1"/>
      <c r="B51" s="1"/>
      <c r="C51" s="1"/>
      <c r="D51" s="1"/>
      <c r="E51" s="1"/>
      <c r="F51" s="1"/>
      <c r="G51" s="1"/>
      <c r="H51" s="1"/>
      <c r="I51" s="1"/>
    </row>
    <row r="52" spans="1:9" x14ac:dyDescent="0.25">
      <c r="A52" s="1"/>
      <c r="B52" s="101" t="s">
        <v>130</v>
      </c>
      <c r="C52" s="102"/>
      <c r="D52" s="102"/>
      <c r="E52" s="102"/>
      <c r="F52" s="102"/>
      <c r="G52" s="102"/>
      <c r="H52" s="103"/>
      <c r="I52" s="1"/>
    </row>
    <row r="53" spans="1:9" x14ac:dyDescent="0.25">
      <c r="A53" s="1"/>
      <c r="B53" s="104" t="s">
        <v>131</v>
      </c>
      <c r="C53" s="105"/>
      <c r="D53" s="105"/>
      <c r="E53" s="105"/>
      <c r="F53" s="106"/>
      <c r="G53" s="22">
        <f>(G47+G48-G49)*(1+'Fane 13. Nøgletal'!C16)</f>
        <v>93122421.869766742</v>
      </c>
      <c r="H53" s="14" t="s">
        <v>3</v>
      </c>
      <c r="I53" s="1"/>
    </row>
    <row r="54" spans="1:9" x14ac:dyDescent="0.25">
      <c r="A54" s="1"/>
      <c r="B54" s="104" t="s">
        <v>132</v>
      </c>
      <c r="C54" s="105"/>
      <c r="D54" s="105"/>
      <c r="E54" s="105"/>
      <c r="F54" s="106"/>
      <c r="G54" s="63">
        <f>(G53)*'Fane 13. Nøgletal'!C28</f>
        <v>0</v>
      </c>
      <c r="H54" s="14" t="s">
        <v>3</v>
      </c>
      <c r="I54" s="1"/>
    </row>
    <row r="55" spans="1:9" x14ac:dyDescent="0.25">
      <c r="A55" s="1"/>
      <c r="B55" s="53"/>
      <c r="C55" s="54"/>
      <c r="D55" s="54"/>
      <c r="E55" s="54"/>
      <c r="F55" s="54"/>
      <c r="G55" s="54"/>
      <c r="H55" s="19"/>
      <c r="I55" s="1"/>
    </row>
    <row r="56" spans="1:9" x14ac:dyDescent="0.25">
      <c r="A56" s="1"/>
      <c r="B56" s="1"/>
      <c r="C56" s="1"/>
      <c r="D56" s="1"/>
      <c r="E56" s="1"/>
      <c r="F56" s="1"/>
      <c r="G56" s="1"/>
      <c r="H56" s="1"/>
      <c r="I56" s="1"/>
    </row>
    <row r="57" spans="1:9" x14ac:dyDescent="0.25">
      <c r="A57" s="1"/>
      <c r="B57" s="101" t="s">
        <v>147</v>
      </c>
      <c r="C57" s="102"/>
      <c r="D57" s="102"/>
      <c r="E57" s="102"/>
      <c r="F57" s="102"/>
      <c r="G57" s="102"/>
      <c r="H57" s="103"/>
      <c r="I57" s="1"/>
    </row>
    <row r="58" spans="1:9" x14ac:dyDescent="0.25">
      <c r="A58" s="1"/>
      <c r="B58" s="104" t="s">
        <v>148</v>
      </c>
      <c r="C58" s="105"/>
      <c r="D58" s="105"/>
      <c r="E58" s="105"/>
      <c r="F58" s="106"/>
      <c r="G58" s="22">
        <f>(G53-G54)*(1+'Fane 13. Nøgletal'!C16)</f>
        <v>100646713.55684389</v>
      </c>
      <c r="H58" s="14" t="s">
        <v>3</v>
      </c>
      <c r="I58" s="1"/>
    </row>
    <row r="59" spans="1:9" x14ac:dyDescent="0.25">
      <c r="A59" s="1"/>
      <c r="B59" s="104" t="s">
        <v>149</v>
      </c>
      <c r="C59" s="105"/>
      <c r="D59" s="105"/>
      <c r="E59" s="105"/>
      <c r="F59" s="106"/>
      <c r="G59" s="63">
        <f>(G58)*'Fane 13. Nøgletal'!C28</f>
        <v>0</v>
      </c>
      <c r="H59" s="14" t="s">
        <v>3</v>
      </c>
      <c r="I59" s="1"/>
    </row>
    <row r="60" spans="1:9" x14ac:dyDescent="0.25">
      <c r="A60" s="1"/>
      <c r="B60" s="53"/>
      <c r="C60" s="54"/>
      <c r="D60" s="54"/>
      <c r="E60" s="54"/>
      <c r="F60" s="54"/>
      <c r="G60" s="54"/>
      <c r="H60" s="19"/>
      <c r="I60" s="1"/>
    </row>
    <row r="61" spans="1:9" x14ac:dyDescent="0.25">
      <c r="A61" s="1"/>
      <c r="B61" s="1"/>
      <c r="C61" s="1"/>
      <c r="D61" s="1"/>
      <c r="E61" s="1"/>
      <c r="F61" s="1"/>
      <c r="G61" s="1"/>
      <c r="H61" s="1"/>
      <c r="I61" s="1"/>
    </row>
    <row r="62" spans="1:9" x14ac:dyDescent="0.25">
      <c r="A62" s="1"/>
      <c r="B62" s="101" t="s">
        <v>223</v>
      </c>
      <c r="C62" s="102"/>
      <c r="D62" s="102"/>
      <c r="E62" s="102"/>
      <c r="F62" s="102"/>
      <c r="G62" s="102"/>
      <c r="H62" s="103"/>
      <c r="I62" s="1"/>
    </row>
    <row r="63" spans="1:9" x14ac:dyDescent="0.25">
      <c r="A63" s="1"/>
      <c r="B63" s="104" t="s">
        <v>224</v>
      </c>
      <c r="C63" s="105"/>
      <c r="D63" s="105"/>
      <c r="E63" s="105"/>
      <c r="F63" s="106"/>
      <c r="G63" s="22">
        <f>(G58-G59)*(1+'Fane 13. Nøgletal'!C16)</f>
        <v>108778968.01223688</v>
      </c>
      <c r="H63" s="14" t="s">
        <v>3</v>
      </c>
      <c r="I63" s="1"/>
    </row>
    <row r="64" spans="1:9" x14ac:dyDescent="0.25">
      <c r="A64" s="1"/>
      <c r="B64" s="104" t="s">
        <v>225</v>
      </c>
      <c r="C64" s="105"/>
      <c r="D64" s="105"/>
      <c r="E64" s="105"/>
      <c r="F64" s="106"/>
      <c r="G64" s="63">
        <f>(G63)*'Fane 13. Nøgletal'!C28</f>
        <v>0</v>
      </c>
      <c r="H64" s="14" t="s">
        <v>3</v>
      </c>
      <c r="I64" s="1"/>
    </row>
    <row r="65" spans="1:9" x14ac:dyDescent="0.25">
      <c r="A65" s="1"/>
      <c r="B65" s="53"/>
      <c r="C65" s="54"/>
      <c r="D65" s="54"/>
      <c r="E65" s="54"/>
      <c r="F65" s="54"/>
      <c r="G65" s="54"/>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YA8Pd8aXOBDujPbCDH3g7A+WLmP/AF+KWDcbQHQY2sWpagaf7o5xA8QZwivK+pkN1Z04ZJ+/8gMFai9C3C185A==" saltValue="GJkS6FgcQdaMxg26pBA18g=="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1" t="s">
        <v>9</v>
      </c>
      <c r="C8" s="102"/>
      <c r="D8" s="102"/>
      <c r="E8" s="102"/>
      <c r="F8" s="102"/>
      <c r="G8" s="103"/>
      <c r="H8" s="1"/>
    </row>
    <row r="9" spans="1:8" x14ac:dyDescent="0.25">
      <c r="A9" s="1"/>
      <c r="B9" s="65" t="s">
        <v>150</v>
      </c>
      <c r="C9" s="66"/>
      <c r="D9" s="66"/>
      <c r="E9" s="66"/>
      <c r="F9" s="67"/>
      <c r="G9" s="52">
        <v>0.02</v>
      </c>
      <c r="H9" s="1"/>
    </row>
    <row r="10" spans="1:8" x14ac:dyDescent="0.25">
      <c r="A10" s="1"/>
      <c r="B10" s="53"/>
      <c r="C10" s="54"/>
      <c r="D10" s="54"/>
      <c r="E10" s="54"/>
      <c r="F10" s="54"/>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dwmFlSfw8LBaWA5Kkx4pL2CSU4B5OkNadY1v2h8FA6brEtq6xRqfgo5M0L67wNSG6ZNy9rtt9Xz9L3jDI/H8PA==" saltValue="IAGm9kZx1l9KOF4EAv/t5g=="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2023-11-29T17:43:11Z</dcterms:modified>
</cp:coreProperties>
</file>