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EBILD VAND &amp; SPILDEVAND AS (S07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6" i="15" l="1"/>
  <c r="C32" i="2"/>
  <c r="C15" i="19"/>
  <c r="G31" i="36" l="1"/>
  <c r="G23" i="36"/>
  <c r="G30" i="36" s="1"/>
  <c r="G5" i="36"/>
  <c r="G9" i="36" s="1"/>
  <c r="G34" i="30"/>
  <c r="G12" i="36" l="1"/>
  <c r="G16" i="36" s="1"/>
  <c r="G18" i="36" l="1"/>
  <c r="G22" i="36"/>
  <c r="G29" i="36" s="1"/>
  <c r="G33" i="36" l="1"/>
  <c r="E23" i="27" s="1"/>
  <c r="G37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 l="1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5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C23" i="22" s="1"/>
  <c r="E38" i="39"/>
  <c r="C22" i="23" s="1"/>
  <c r="E14" i="39"/>
  <c r="C27" i="2" s="1"/>
  <c r="C14" i="39"/>
  <c r="C26" i="2" s="1"/>
  <c r="C23" i="23" l="1"/>
  <c r="C24" i="15"/>
  <c r="C28" i="2"/>
  <c r="G25" i="36" l="1"/>
  <c r="G15" i="30"/>
  <c r="G19" i="30" l="1"/>
  <c r="G25" i="30" s="1"/>
  <c r="G21" i="30" l="1"/>
  <c r="G28" i="30"/>
  <c r="G32" i="30"/>
  <c r="F11" i="11" l="1"/>
  <c r="C10" i="37" s="1"/>
  <c r="C11" i="37" s="1"/>
  <c r="C12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1" i="37" s="1"/>
  <c r="E12" i="37" s="1"/>
  <c r="C11" i="2" s="1"/>
  <c r="G38" i="36" s="1"/>
  <c r="G40" i="30"/>
  <c r="G42" i="30" s="1"/>
  <c r="G46" i="30" s="1"/>
  <c r="G49" i="30" s="1"/>
  <c r="E22" i="27"/>
  <c r="E24" i="27" s="1"/>
  <c r="G39" i="36" l="1"/>
  <c r="C19" i="2" s="1"/>
  <c r="G44" i="36"/>
  <c r="C18" i="2"/>
  <c r="E35" i="27"/>
  <c r="C9" i="2"/>
  <c r="C14" i="15"/>
  <c r="G43" i="36" l="1"/>
  <c r="G46" i="36" s="1"/>
  <c r="G52" i="36" s="1"/>
  <c r="C16" i="2"/>
  <c r="C17" i="2" s="1"/>
  <c r="G54" i="30"/>
  <c r="C20" i="2" l="1"/>
  <c r="C35" i="2" s="1"/>
  <c r="G54" i="36"/>
  <c r="C14" i="2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<sst xmlns="http://schemas.openxmlformats.org/spreadsheetml/2006/main" count="714" uniqueCount="288">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</sst>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174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175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176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136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177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132</v>
      </c>
      <c r="D17" s="69" t="s">
        <v>178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110</v>
      </c>
      <c r="D18" s="72" t="s">
        <v>94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111</v>
      </c>
      <c r="D19" s="72" t="s">
        <v>95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112</v>
      </c>
      <c r="D21" s="78" t="s">
        <v>13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75</v>
      </c>
      <c r="D22" s="64" t="s">
        <v>179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180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39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113</v>
      </c>
      <c r="D25" s="64" t="s">
        <v>76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114</v>
      </c>
      <c r="D26" s="64" t="s">
        <v>77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115</v>
      </c>
      <c r="D27" s="64" t="s">
        <v>78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135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41</v>
      </c>
      <c r="D29" s="64" t="s">
        <v>40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42</v>
      </c>
      <c r="D30" s="75" t="s">
        <v>108</v>
      </c>
      <c r="E30" s="76"/>
      <c r="F30" s="76"/>
      <c r="G30" s="7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JiWBKieTa4D2a8XHnBXGiqSiXpntGLO1KFYRJBctTiPryWPmrF+UWXGP/vJY49ARUpB3CxRjji2CsXZeM2uYQ==" saltValue="+zSTb7hWB4iHQ9C4YMCeF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1" t="s">
        <v>119</v>
      </c>
      <c r="C3" s="81"/>
      <c r="D3" s="81"/>
      <c r="E3" s="1"/>
      <c r="F3" s="1"/>
    </row>
    <row r="4" spans="1:6" ht="15" customHeight="1" x14ac:dyDescent="0.25">
      <c r="A4" s="1"/>
      <c r="B4" s="81"/>
      <c r="C4" s="81"/>
      <c r="D4" s="8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5" t="s">
        <v>197</v>
      </c>
      <c r="C8" s="106"/>
      <c r="D8" s="107"/>
      <c r="E8" s="1"/>
      <c r="F8" s="1"/>
    </row>
    <row r="9" spans="1:6" ht="15" customHeight="1" x14ac:dyDescent="0.25">
      <c r="A9" s="1"/>
      <c r="B9" s="43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2" t="s">
        <v>267</v>
      </c>
      <c r="C10" s="9">
        <v>192980</v>
      </c>
      <c r="D10" s="14" t="s">
        <v>3</v>
      </c>
      <c r="E10" s="1"/>
      <c r="F10" s="1"/>
    </row>
    <row r="11" spans="1:6" ht="15" customHeight="1" x14ac:dyDescent="0.25">
      <c r="A11" s="1"/>
      <c r="B11" s="52" t="s">
        <v>268</v>
      </c>
      <c r="C11" s="9">
        <v>60861</v>
      </c>
      <c r="D11" s="14" t="s">
        <v>3</v>
      </c>
      <c r="E11" s="1"/>
      <c r="F11" s="1"/>
    </row>
    <row r="12" spans="1:6" x14ac:dyDescent="0.25">
      <c r="A12" s="1"/>
      <c r="B12" s="52" t="s">
        <v>269</v>
      </c>
      <c r="C12" s="9">
        <v>3134367</v>
      </c>
      <c r="D12" s="14" t="s">
        <v>3</v>
      </c>
      <c r="E12" s="1"/>
      <c r="F12" s="1"/>
    </row>
    <row r="13" spans="1:6" x14ac:dyDescent="0.25">
      <c r="A13" s="1"/>
      <c r="B13" s="52" t="s">
        <v>270</v>
      </c>
      <c r="C13" s="9">
        <v>46297</v>
      </c>
      <c r="D13" s="14" t="s">
        <v>3</v>
      </c>
      <c r="E13" s="1"/>
      <c r="F13" s="1"/>
    </row>
    <row r="14" spans="1:6" x14ac:dyDescent="0.25">
      <c r="A14" s="1"/>
      <c r="B14" s="52" t="s">
        <v>271</v>
      </c>
      <c r="C14" s="9">
        <v>8865.5</v>
      </c>
      <c r="D14" s="14" t="s">
        <v>3</v>
      </c>
      <c r="E14" s="1"/>
      <c r="F14" s="1"/>
    </row>
    <row r="15" spans="1:6" x14ac:dyDescent="0.25">
      <c r="A15" s="1"/>
      <c r="B15" s="35" t="s">
        <v>199</v>
      </c>
      <c r="C15" s="12">
        <f>SUM(C10:C14)</f>
        <v>3443370.5</v>
      </c>
      <c r="D15" s="13" t="s">
        <v>3</v>
      </c>
      <c r="E15" s="1"/>
      <c r="F15" s="1"/>
    </row>
    <row r="16" spans="1:6" x14ac:dyDescent="0.25">
      <c r="A16" s="1"/>
      <c r="B16" s="35" t="s">
        <v>200</v>
      </c>
      <c r="C16" s="12">
        <f>C15*(1+'Fane 14. Nøgletal'!C14)^2</f>
        <v>3466134.2436047457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05" t="s">
        <v>128</v>
      </c>
      <c r="C19" s="106"/>
      <c r="D19" s="107"/>
      <c r="E19" s="1"/>
      <c r="F19" s="1"/>
    </row>
    <row r="20" spans="1:6" x14ac:dyDescent="0.25">
      <c r="A20" s="1"/>
      <c r="B20" s="52" t="s">
        <v>100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2" t="s">
        <v>101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2" t="s">
        <v>141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2" t="s">
        <v>201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105"/>
      <c r="C24" s="106"/>
      <c r="D24" s="107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05" t="s">
        <v>99</v>
      </c>
      <c r="C27" s="106"/>
      <c r="D27" s="107"/>
      <c r="E27" s="1"/>
      <c r="F27" s="1"/>
    </row>
    <row r="28" spans="1:6" x14ac:dyDescent="0.25">
      <c r="A28" s="1"/>
      <c r="B28" s="52" t="s">
        <v>100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2" t="s">
        <v>101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2" t="s">
        <v>141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2" t="s">
        <v>201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05"/>
      <c r="C32" s="106"/>
      <c r="D32" s="107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1t7YUylHVkBFlTvpbKdSSgMXcDwkCZUlzVy5IV51wGkA34xzlP5BDSbduMbNuMgpqQAVmLKsaVgi9UH7n/h/zQ==" saltValue="kuyqBOa2W+WJMOpYBuSMI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273</v>
      </c>
      <c r="C8" s="106"/>
      <c r="D8" s="106"/>
      <c r="E8" s="106"/>
      <c r="F8" s="107"/>
      <c r="G8" s="1"/>
    </row>
    <row r="9" spans="1:7" x14ac:dyDescent="0.25">
      <c r="A9" s="1"/>
      <c r="B9" s="108" t="s">
        <v>274</v>
      </c>
      <c r="C9" s="109"/>
      <c r="D9" s="110"/>
      <c r="E9" s="9">
        <v>15564039.839719772</v>
      </c>
      <c r="F9" s="14" t="s">
        <v>3</v>
      </c>
      <c r="G9" s="1"/>
    </row>
    <row r="10" spans="1:7" x14ac:dyDescent="0.25">
      <c r="A10" s="1"/>
      <c r="B10" s="108" t="s">
        <v>275</v>
      </c>
      <c r="C10" s="109"/>
      <c r="D10" s="110"/>
      <c r="E10" s="9">
        <v>8641851.3304177374</v>
      </c>
      <c r="F10" s="14" t="s">
        <v>3</v>
      </c>
      <c r="G10" s="1"/>
    </row>
    <row r="11" spans="1:7" x14ac:dyDescent="0.25">
      <c r="A11" s="1"/>
      <c r="B11" s="108" t="s">
        <v>276</v>
      </c>
      <c r="C11" s="109"/>
      <c r="D11" s="110"/>
      <c r="E11" s="9">
        <v>13554264.523435012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93" t="s">
        <v>277</v>
      </c>
      <c r="C13" s="94"/>
      <c r="D13" s="94"/>
      <c r="E13" s="94"/>
      <c r="F13" s="95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5" t="s">
        <v>278</v>
      </c>
      <c r="C15" s="106"/>
      <c r="D15" s="106"/>
      <c r="E15" s="106"/>
      <c r="F15" s="107"/>
      <c r="G15" s="1"/>
    </row>
    <row r="16" spans="1:7" x14ac:dyDescent="0.25">
      <c r="A16" s="1"/>
      <c r="B16" s="108" t="s">
        <v>279</v>
      </c>
      <c r="C16" s="109"/>
      <c r="D16" s="110"/>
      <c r="E16" s="9">
        <v>0</v>
      </c>
      <c r="F16" s="14" t="s">
        <v>3</v>
      </c>
      <c r="G16" s="1"/>
    </row>
    <row r="17" spans="1:7" x14ac:dyDescent="0.25">
      <c r="A17" s="1"/>
      <c r="B17" s="108" t="s">
        <v>280</v>
      </c>
      <c r="C17" s="109"/>
      <c r="D17" s="110"/>
      <c r="E17" s="9">
        <v>0</v>
      </c>
      <c r="F17" s="14" t="s">
        <v>3</v>
      </c>
      <c r="G17" s="1"/>
    </row>
    <row r="18" spans="1:7" x14ac:dyDescent="0.25">
      <c r="A18" s="1"/>
      <c r="B18" s="35"/>
      <c r="C18" s="36"/>
      <c r="D18" s="36"/>
      <c r="E18" s="36"/>
      <c r="F18" s="20"/>
      <c r="G18" s="1"/>
    </row>
    <row r="19" spans="1:7" ht="31.5" customHeight="1" x14ac:dyDescent="0.25">
      <c r="A19" s="1"/>
      <c r="B19" s="93" t="s">
        <v>281</v>
      </c>
      <c r="C19" s="94"/>
      <c r="D19" s="94"/>
      <c r="E19" s="94"/>
      <c r="F19" s="95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6" t="s">
        <v>240</v>
      </c>
      <c r="C21" s="57"/>
      <c r="D21" s="57"/>
      <c r="E21" s="57"/>
      <c r="F21" s="58"/>
      <c r="G21" s="1"/>
    </row>
    <row r="22" spans="1:7" x14ac:dyDescent="0.25">
      <c r="A22" s="1"/>
      <c r="B22" s="53" t="s">
        <v>241</v>
      </c>
      <c r="C22" s="54"/>
      <c r="D22" s="55"/>
      <c r="E22" s="9">
        <v>55129657.554690771</v>
      </c>
      <c r="F22" s="14" t="s">
        <v>3</v>
      </c>
      <c r="G22" s="1"/>
    </row>
    <row r="23" spans="1:7" x14ac:dyDescent="0.25">
      <c r="A23" s="1"/>
      <c r="B23" s="53" t="s">
        <v>242</v>
      </c>
      <c r="C23" s="54"/>
      <c r="D23" s="55"/>
      <c r="E23" s="9">
        <v>45727043</v>
      </c>
      <c r="F23" s="14" t="s">
        <v>3</v>
      </c>
      <c r="G23" s="1"/>
    </row>
    <row r="24" spans="1:7" x14ac:dyDescent="0.25">
      <c r="A24" s="1"/>
      <c r="B24" s="53" t="s">
        <v>36</v>
      </c>
      <c r="C24" s="54"/>
      <c r="D24" s="55"/>
      <c r="E24" s="9">
        <v>0</v>
      </c>
      <c r="F24" s="14" t="s">
        <v>3</v>
      </c>
      <c r="G24" s="1"/>
    </row>
    <row r="25" spans="1:7" x14ac:dyDescent="0.25">
      <c r="A25" s="1"/>
      <c r="B25" s="46" t="s">
        <v>282</v>
      </c>
      <c r="C25" s="47"/>
      <c r="D25" s="48"/>
      <c r="E25" s="38">
        <f>E22-(E23-E24)</f>
        <v>9402614.5546907708</v>
      </c>
      <c r="F25" s="17" t="s">
        <v>3</v>
      </c>
      <c r="G25" s="1"/>
    </row>
    <row r="26" spans="1:7" x14ac:dyDescent="0.25">
      <c r="A26" s="1"/>
      <c r="B26" s="35"/>
      <c r="C26" s="36"/>
      <c r="D26" s="36"/>
      <c r="E26" s="36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5" t="s">
        <v>169</v>
      </c>
      <c r="C29" s="106"/>
      <c r="D29" s="106"/>
      <c r="E29" s="106"/>
      <c r="F29" s="107"/>
      <c r="G29" s="1"/>
    </row>
    <row r="30" spans="1:7" x14ac:dyDescent="0.25">
      <c r="A30" s="1"/>
      <c r="B30" s="122" t="s">
        <v>170</v>
      </c>
      <c r="C30" s="123"/>
      <c r="D30" s="124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25">
      <c r="A31" s="1"/>
      <c r="B31" s="122" t="s">
        <v>104</v>
      </c>
      <c r="C31" s="123"/>
      <c r="D31" s="124"/>
      <c r="E31" s="9">
        <v>2</v>
      </c>
      <c r="F31" s="14" t="s">
        <v>21</v>
      </c>
      <c r="G31" s="1"/>
    </row>
    <row r="32" spans="1:7" x14ac:dyDescent="0.25">
      <c r="A32" s="1"/>
      <c r="B32" s="125" t="s">
        <v>172</v>
      </c>
      <c r="C32" s="125"/>
      <c r="D32" s="125"/>
      <c r="E32" s="10">
        <f>E30/E31</f>
        <v>0</v>
      </c>
      <c r="F32" s="17" t="s">
        <v>3</v>
      </c>
      <c r="G32" s="1"/>
    </row>
    <row r="33" spans="1:7" x14ac:dyDescent="0.25">
      <c r="A33" s="1"/>
      <c r="B33" s="119"/>
      <c r="C33" s="120"/>
      <c r="D33" s="120"/>
      <c r="E33" s="120"/>
      <c r="F33" s="12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LBgWM5LkeOJw/tIU/Rz46bgPTZfF7+ze46U4IBIPRic9cS4r3OxOZCWBoQMcbNoZi3ATHgSuovfbqgJxHikZA==" saltValue="wSLAJckVECOAm1QVZ5JtSw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203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5" t="s">
        <v>204</v>
      </c>
      <c r="C9" s="106"/>
      <c r="D9" s="106"/>
      <c r="E9" s="106"/>
      <c r="F9" s="106"/>
      <c r="G9" s="1"/>
    </row>
    <row r="10" spans="1:7" x14ac:dyDescent="0.25">
      <c r="A10" s="1"/>
      <c r="B10" s="93" t="s">
        <v>102</v>
      </c>
      <c r="C10" s="94"/>
      <c r="D10" s="95"/>
      <c r="E10" s="7">
        <v>0</v>
      </c>
      <c r="F10" s="8" t="s">
        <v>3</v>
      </c>
      <c r="G10" s="1"/>
    </row>
    <row r="11" spans="1:7" x14ac:dyDescent="0.25">
      <c r="A11" s="1"/>
      <c r="B11" s="108" t="s">
        <v>205</v>
      </c>
      <c r="C11" s="109"/>
      <c r="D11" s="110"/>
      <c r="E11" s="7">
        <v>0</v>
      </c>
      <c r="F11" s="8" t="s">
        <v>3</v>
      </c>
      <c r="G11" s="1"/>
    </row>
    <row r="12" spans="1:7" x14ac:dyDescent="0.25">
      <c r="A12" s="1"/>
      <c r="B12" s="102" t="s">
        <v>103</v>
      </c>
      <c r="C12" s="103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105" t="s">
        <v>93</v>
      </c>
      <c r="C13" s="106"/>
      <c r="D13" s="106"/>
      <c r="E13" s="106"/>
      <c r="F13" s="106"/>
      <c r="G13" s="1"/>
    </row>
    <row r="14" spans="1:7" x14ac:dyDescent="0.25">
      <c r="A14" s="1"/>
      <c r="B14" s="108" t="s">
        <v>206</v>
      </c>
      <c r="C14" s="109"/>
      <c r="D14" s="110"/>
      <c r="E14" s="9">
        <v>0</v>
      </c>
      <c r="F14" s="8" t="s">
        <v>3</v>
      </c>
      <c r="G14" s="1"/>
    </row>
    <row r="15" spans="1:7" x14ac:dyDescent="0.25">
      <c r="A15" s="1"/>
      <c r="B15" s="93" t="s">
        <v>207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102" t="s">
        <v>103</v>
      </c>
      <c r="C16" s="103"/>
      <c r="D16" s="104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7RtSQFfn0ztQiolPUOAuLoMoziRTlIUyqneffnsrTV9nAL4QMUkbBQiQ4XZ7rY6bFqjWomaYwwq0wfoLCranA==" saltValue="ZVR+LQrX8E+p4OpCPV9Fm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155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156</v>
      </c>
      <c r="C8" s="106"/>
      <c r="D8" s="106"/>
      <c r="E8" s="106"/>
      <c r="F8" s="106"/>
      <c r="G8" s="106"/>
      <c r="H8" s="10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25">
      <c r="A10" s="1"/>
      <c r="B10" s="60" t="s">
        <v>286</v>
      </c>
      <c r="C10" s="3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5" t="s">
        <v>157</v>
      </c>
      <c r="C11" s="106"/>
      <c r="D11" s="10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2QgE2+2n4WU3lg61zMxhkFaqj7kTKmGRDp8MStOI3CiWcY9oX0062zQSzrR0RJae5EQvA1fnA0QLT4o019CtA==" saltValue="F7Xlnztc5l3ayLYe8AZ/u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118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5" t="s">
        <v>142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209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LdSayhKWTvdSa1RK98/urVasMmtsRoO06JSp9Rourd4qsk2u6SWrsrufqza6JRCMSG6tG7A8YP5BDMuXj8RVA==" saltValue="ZeXZpDg7vjGDRKKBdY7qf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117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96</v>
      </c>
      <c r="C8" s="106"/>
      <c r="D8" s="106"/>
      <c r="E8" s="106"/>
      <c r="F8" s="107"/>
      <c r="G8" s="1"/>
    </row>
    <row r="9" spans="1:7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285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5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5" t="s">
        <v>97</v>
      </c>
      <c r="C16" s="106"/>
      <c r="D16" s="106"/>
      <c r="E16" s="106"/>
      <c r="F16" s="107"/>
      <c r="G16" s="1"/>
    </row>
    <row r="17" spans="1:7" x14ac:dyDescent="0.25">
      <c r="A17" s="1"/>
      <c r="B17" s="40" t="s">
        <v>18</v>
      </c>
      <c r="C17" s="40" t="s">
        <v>12</v>
      </c>
      <c r="D17" s="41"/>
      <c r="E17" s="40" t="s">
        <v>34</v>
      </c>
      <c r="F17" s="62"/>
      <c r="G17" s="1"/>
    </row>
    <row r="18" spans="1:7" x14ac:dyDescent="0.25">
      <c r="A18" s="1"/>
      <c r="B18" s="25" t="s">
        <v>285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5" t="s">
        <v>144</v>
      </c>
      <c r="C24" s="106"/>
      <c r="D24" s="106"/>
      <c r="E24" s="106"/>
      <c r="F24" s="107"/>
      <c r="G24" s="1"/>
    </row>
    <row r="25" spans="1:7" x14ac:dyDescent="0.25">
      <c r="A25" s="1"/>
      <c r="B25" s="40" t="s">
        <v>18</v>
      </c>
      <c r="C25" s="40" t="s">
        <v>12</v>
      </c>
      <c r="D25" s="41"/>
      <c r="E25" s="40" t="s">
        <v>34</v>
      </c>
      <c r="F25" s="62"/>
      <c r="G25" s="1"/>
    </row>
    <row r="26" spans="1:7" x14ac:dyDescent="0.25">
      <c r="A26" s="1"/>
      <c r="B26" s="25" t="s">
        <v>285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5" t="s">
        <v>212</v>
      </c>
      <c r="C32" s="106"/>
      <c r="D32" s="106"/>
      <c r="E32" s="106"/>
      <c r="F32" s="107"/>
      <c r="G32" s="1"/>
    </row>
    <row r="33" spans="1:7" x14ac:dyDescent="0.25">
      <c r="A33" s="1"/>
      <c r="B33" s="40" t="s">
        <v>18</v>
      </c>
      <c r="C33" s="40" t="s">
        <v>12</v>
      </c>
      <c r="D33" s="41"/>
      <c r="E33" s="40" t="s">
        <v>34</v>
      </c>
      <c r="F33" s="62"/>
      <c r="G33" s="1"/>
    </row>
    <row r="34" spans="1:7" x14ac:dyDescent="0.25">
      <c r="A34" s="1"/>
      <c r="B34" s="25" t="s">
        <v>285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4nlAenhYurAgjZXpTp0QGBCoFj91dNwM3t2SK1Bs2rCMoOGYj6GdrOLFjzT3cFple4g7corAJnpUdPquLtK3A==" saltValue="h5qN8Ky6UjULdQjJOAvyw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87</v>
      </c>
      <c r="C8" s="106"/>
      <c r="D8" s="106"/>
      <c r="E8" s="106"/>
      <c r="F8" s="107"/>
      <c r="G8" s="1"/>
    </row>
    <row r="9" spans="1:7" x14ac:dyDescent="0.25">
      <c r="A9" s="1"/>
      <c r="B9" s="126" t="s">
        <v>215</v>
      </c>
      <c r="C9" s="127"/>
      <c r="D9" s="128"/>
      <c r="E9" s="9">
        <v>0</v>
      </c>
      <c r="F9" s="14" t="s">
        <v>3</v>
      </c>
      <c r="G9" s="1"/>
    </row>
    <row r="10" spans="1:7" x14ac:dyDescent="0.25">
      <c r="A10" s="1"/>
      <c r="B10" s="90" t="s">
        <v>10</v>
      </c>
      <c r="C10" s="91"/>
      <c r="D10" s="9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0" t="s">
        <v>27</v>
      </c>
      <c r="C11" s="91"/>
      <c r="D11" s="9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5" t="s">
        <v>89</v>
      </c>
      <c r="C12" s="106"/>
      <c r="D12" s="107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5" t="s">
        <v>88</v>
      </c>
      <c r="C14" s="106"/>
      <c r="D14" s="106"/>
      <c r="E14" s="106"/>
      <c r="F14" s="107"/>
      <c r="G14" s="1"/>
    </row>
    <row r="15" spans="1:7" x14ac:dyDescent="0.25">
      <c r="A15" s="1"/>
      <c r="B15" s="126" t="s">
        <v>215</v>
      </c>
      <c r="C15" s="127"/>
      <c r="D15" s="128"/>
      <c r="E15" s="9">
        <v>0</v>
      </c>
      <c r="F15" s="14" t="s">
        <v>3</v>
      </c>
      <c r="G15" s="1"/>
    </row>
    <row r="16" spans="1:7" x14ac:dyDescent="0.25">
      <c r="A16" s="1"/>
      <c r="B16" s="90" t="s">
        <v>10</v>
      </c>
      <c r="C16" s="91"/>
      <c r="D16" s="9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0" t="s">
        <v>27</v>
      </c>
      <c r="C17" s="91"/>
      <c r="D17" s="9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5" t="s">
        <v>90</v>
      </c>
      <c r="C18" s="106"/>
      <c r="D18" s="107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5" t="s">
        <v>145</v>
      </c>
      <c r="C20" s="106"/>
      <c r="D20" s="106"/>
      <c r="E20" s="106"/>
      <c r="F20" s="107"/>
      <c r="G20" s="1"/>
    </row>
    <row r="21" spans="1:7" x14ac:dyDescent="0.25">
      <c r="A21" s="1"/>
      <c r="B21" s="126" t="s">
        <v>215</v>
      </c>
      <c r="C21" s="127"/>
      <c r="D21" s="128"/>
      <c r="E21" s="9">
        <v>0</v>
      </c>
      <c r="F21" s="14" t="s">
        <v>3</v>
      </c>
      <c r="G21" s="1"/>
    </row>
    <row r="22" spans="1:7" x14ac:dyDescent="0.25">
      <c r="A22" s="1"/>
      <c r="B22" s="90" t="s">
        <v>10</v>
      </c>
      <c r="C22" s="91"/>
      <c r="D22" s="9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0" t="s">
        <v>27</v>
      </c>
      <c r="C23" s="91"/>
      <c r="D23" s="9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5" t="s">
        <v>146</v>
      </c>
      <c r="C24" s="106"/>
      <c r="D24" s="107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5" t="s">
        <v>216</v>
      </c>
      <c r="C26" s="106"/>
      <c r="D26" s="106"/>
      <c r="E26" s="106"/>
      <c r="F26" s="107"/>
      <c r="G26" s="1"/>
    </row>
    <row r="27" spans="1:7" x14ac:dyDescent="0.25">
      <c r="A27" s="1"/>
      <c r="B27" s="126" t="s">
        <v>215</v>
      </c>
      <c r="C27" s="127"/>
      <c r="D27" s="128"/>
      <c r="E27" s="9">
        <v>0</v>
      </c>
      <c r="F27" s="14" t="s">
        <v>3</v>
      </c>
      <c r="G27" s="1"/>
    </row>
    <row r="28" spans="1:7" x14ac:dyDescent="0.25">
      <c r="A28" s="1"/>
      <c r="B28" s="90" t="s">
        <v>10</v>
      </c>
      <c r="C28" s="91"/>
      <c r="D28" s="9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0" t="s">
        <v>27</v>
      </c>
      <c r="C29" s="91"/>
      <c r="D29" s="9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5" t="s">
        <v>217</v>
      </c>
      <c r="C30" s="106"/>
      <c r="D30" s="107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rEgiga6JvittmlbXRNhsExxIBWxtd82VrnWnCYLGnPOq3oUcfX0pj67S8kAMQhfe2/0wal1puEG318KT63Xrg==" saltValue="yD1FswTq1V7LC6lS5mNSY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147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148</v>
      </c>
      <c r="C8" s="106"/>
      <c r="D8" s="106"/>
      <c r="E8" s="106"/>
      <c r="F8" s="107"/>
      <c r="G8" s="1"/>
    </row>
    <row r="9" spans="1:7" ht="15" customHeight="1" x14ac:dyDescent="0.25">
      <c r="A9" s="1"/>
      <c r="B9" s="61" t="s">
        <v>149</v>
      </c>
      <c r="C9" s="96" t="s">
        <v>12</v>
      </c>
      <c r="D9" s="98"/>
      <c r="E9" s="129" t="s">
        <v>34</v>
      </c>
      <c r="F9" s="130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GkQeX7MK3NXzdftk1rz/JfXoockzofHwCCVCZT6o8HQbMXmn25Txtq1/QapDcZIeoEzQop6qlQKIEVv0V2Tuzg==" saltValue="l8ceT7M8HKJXzE6TGiNRN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116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91</v>
      </c>
      <c r="C8" s="106"/>
      <c r="D8" s="106"/>
      <c r="E8" s="106"/>
      <c r="F8" s="107"/>
      <c r="G8" s="1"/>
    </row>
    <row r="9" spans="1:7" ht="15" customHeight="1" x14ac:dyDescent="0.2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5" t="s">
        <v>92</v>
      </c>
      <c r="C14" s="106"/>
      <c r="D14" s="106"/>
      <c r="E14" s="106"/>
      <c r="F14" s="107"/>
      <c r="G14" s="1"/>
    </row>
    <row r="15" spans="1:7" ht="26.25" x14ac:dyDescent="0.2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5" t="s">
        <v>151</v>
      </c>
      <c r="C20" s="106"/>
      <c r="D20" s="106"/>
      <c r="E20" s="106"/>
      <c r="F20" s="107"/>
      <c r="G20" s="1"/>
    </row>
    <row r="21" spans="1:7" ht="26.25" x14ac:dyDescent="0.2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5" t="s">
        <v>219</v>
      </c>
      <c r="C26" s="106"/>
      <c r="D26" s="106"/>
      <c r="E26" s="106"/>
      <c r="F26" s="107"/>
      <c r="G26" s="1"/>
    </row>
    <row r="27" spans="1:7" ht="26.25" x14ac:dyDescent="0.2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8YPwprrrKheUKsPk3CElWNNr1BhZi17AFBKvjsc/zexFE294TX5jkAO2uyub1f7tncKN95SMI3P+TU3T0RW2g==" saltValue="V8Q/Y3MXrosizONxSUYM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173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2" t="s">
        <v>264</v>
      </c>
      <c r="C9" s="26">
        <v>1.2699999999999999E-2</v>
      </c>
      <c r="D9" s="1"/>
    </row>
    <row r="10" spans="1:4" x14ac:dyDescent="0.25">
      <c r="A10" s="1"/>
      <c r="B10" s="52" t="s">
        <v>122</v>
      </c>
      <c r="C10" s="26">
        <v>1.7500000000000002E-2</v>
      </c>
      <c r="D10" s="1"/>
    </row>
    <row r="11" spans="1:4" x14ac:dyDescent="0.25">
      <c r="A11" s="1"/>
      <c r="B11" s="52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284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2" t="s">
        <v>265</v>
      </c>
      <c r="C19" s="23">
        <v>9.1000000000000004E-3</v>
      </c>
      <c r="D19" s="1"/>
    </row>
    <row r="20" spans="1:4" x14ac:dyDescent="0.25">
      <c r="A20" s="1"/>
      <c r="B20" s="52" t="s">
        <v>124</v>
      </c>
      <c r="C20" s="23">
        <v>1.77E-2</v>
      </c>
      <c r="D20" s="1"/>
    </row>
    <row r="21" spans="1:4" x14ac:dyDescent="0.25">
      <c r="A21" s="1"/>
      <c r="B21" s="52" t="s">
        <v>123</v>
      </c>
      <c r="C21" s="23">
        <v>8.6999999999999994E-3</v>
      </c>
      <c r="D21" s="1"/>
    </row>
    <row r="22" spans="1:4" x14ac:dyDescent="0.25">
      <c r="A22" s="1"/>
      <c r="B22" s="52" t="s">
        <v>125</v>
      </c>
      <c r="C22" s="23">
        <v>2.8400000000000002E-2</v>
      </c>
      <c r="D22" s="1"/>
    </row>
    <row r="23" spans="1:4" x14ac:dyDescent="0.25">
      <c r="A23" s="1"/>
      <c r="B23" s="52" t="s">
        <v>154</v>
      </c>
      <c r="C23" s="32">
        <v>2.75E-2</v>
      </c>
      <c r="D23" s="1"/>
    </row>
    <row r="24" spans="1:4" x14ac:dyDescent="0.25">
      <c r="A24" s="1"/>
      <c r="B24" s="52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2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5+uNEY8xoksd8TdTXDnc5DggCNRtnC1HExIHe4z3fh1YcoiXAahVOgPfLBKVr2N4W9J3lEQ8YwHKOBeceCSugw==" saltValue="ZlrIeFGe4350OHeeUym0x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181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1" t="s">
        <v>26</v>
      </c>
      <c r="C9" s="7">
        <f>'Fane 3. Omkostninger i ØR2021'!E24</f>
        <v>50724536.437263541</v>
      </c>
      <c r="D9" s="8" t="s">
        <v>3</v>
      </c>
      <c r="E9" s="1"/>
    </row>
    <row r="10" spans="1:5" ht="17.100000000000001" customHeight="1" x14ac:dyDescent="0.25">
      <c r="A10" s="1"/>
      <c r="B10" s="49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9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9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20</v>
      </c>
      <c r="C16" s="9">
        <f>SUM(C9:C15)*'Fane 14. Nøgletal'!C14</f>
        <v>167390.97024296969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-SUM(C9,C10:C16)*'Fane 5. Individuelt eff. krav'!G11</f>
        <v>-452920.28424929891</v>
      </c>
      <c r="D17" s="8" t="s">
        <v>3</v>
      </c>
      <c r="E17" s="1"/>
    </row>
    <row r="18" spans="1:5" ht="17.100000000000001" customHeight="1" x14ac:dyDescent="0.25">
      <c r="A18" s="1"/>
      <c r="B18" s="49" t="s">
        <v>27</v>
      </c>
      <c r="C18" s="9">
        <f>-'Fane 4.1. Gen. krav - drift'!G42</f>
        <v>-226067.78796793742</v>
      </c>
      <c r="D18" s="8" t="s">
        <v>3</v>
      </c>
      <c r="E18" s="1"/>
    </row>
    <row r="19" spans="1:5" ht="15" customHeight="1" x14ac:dyDescent="0.25">
      <c r="A19" s="1"/>
      <c r="B19" s="49" t="s">
        <v>28</v>
      </c>
      <c r="C19" s="9">
        <f>-'Fane 4.2. Gen. krav - anlæg'!G39</f>
        <v>-589510.34953171026</v>
      </c>
      <c r="D19" s="8" t="s">
        <v>3</v>
      </c>
      <c r="E19" s="1"/>
    </row>
    <row r="20" spans="1:5" ht="15" customHeight="1" x14ac:dyDescent="0.25">
      <c r="A20" s="1"/>
      <c r="B20" s="46" t="s">
        <v>22</v>
      </c>
      <c r="C20" s="10">
        <f>SUM(C9,C10:C19)</f>
        <v>49623428.985757567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1" t="s">
        <v>13</v>
      </c>
      <c r="C22" s="10">
        <f>'Fane 6. Ikke-påvirkelige omk.'!C16+'Fane 6. Ikke-påvirkelige omk.'!C20+'Fane 6. Ikke-påvirkelige omk.'!C28</f>
        <v>3466134.2436047457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49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1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1" t="s">
        <v>287</v>
      </c>
      <c r="C32" s="10">
        <f>'Fane 7. Kontrol af ØR2020'!E32</f>
        <v>0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53089563.229362309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KVy7aUU1jlDk1ld2AsCpwPTTsFdBdBuJBbnQLw/VvX1+ngSxH5oyy7pIC2uAvT4/cNC2q2SW0km5lbMGuRd8Ug==" saltValue="T9EDgJH4YO/Gl1+j8EDFd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/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ht="15" customHeight="1" x14ac:dyDescent="0.25">
      <c r="A9" s="1"/>
      <c r="B9" s="51" t="s">
        <v>109</v>
      </c>
      <c r="C9" s="7">
        <f>'Fane 2.1. Økonomisk ramme 2022'!C20</f>
        <v>49623428.985757567</v>
      </c>
      <c r="D9" s="8" t="s">
        <v>3</v>
      </c>
      <c r="E9" s="1"/>
    </row>
    <row r="10" spans="1:5" ht="15" customHeight="1" x14ac:dyDescent="0.25">
      <c r="A10" s="1"/>
      <c r="B10" s="49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2" t="s">
        <v>20</v>
      </c>
      <c r="C12" s="9">
        <f>SUM(C9:C11)*'Fane 14. Nøgletal'!C14</f>
        <v>163757.31565299997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krav'!G11</f>
        <v>-443088.47631268186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drift'!G49</f>
        <v>-222277.53543486699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anlæg'!G46</f>
        <v>-582702.18882662454</v>
      </c>
      <c r="D15" s="8" t="s">
        <v>3</v>
      </c>
      <c r="E15" s="1"/>
    </row>
    <row r="16" spans="1:5" ht="15" customHeight="1" x14ac:dyDescent="0.25">
      <c r="A16" s="1"/>
      <c r="B16" s="43" t="s">
        <v>22</v>
      </c>
      <c r="C16" s="10">
        <f>SUM(C9:C15)</f>
        <v>48539118.100836389</v>
      </c>
      <c r="D16" s="11" t="s">
        <v>3</v>
      </c>
      <c r="E16" s="1"/>
    </row>
    <row r="17" spans="1:5" ht="15" customHeight="1" x14ac:dyDescent="0.25">
      <c r="A17" s="1"/>
      <c r="B17" s="35" t="s">
        <v>13</v>
      </c>
      <c r="C17" s="36"/>
      <c r="D17" s="20"/>
      <c r="E17" s="1"/>
    </row>
    <row r="18" spans="1:5" ht="15" customHeight="1" x14ac:dyDescent="0.25">
      <c r="A18" s="1"/>
      <c r="B18" s="61" t="s">
        <v>13</v>
      </c>
      <c r="C18" s="10">
        <f>'Fane 6. Ikke-påvirkelige omk.'!C16*(1+'Fane 14. Nøgletal'!C14)+'Fane 6. Ikke-påvirkelige omk.'!C21+'Fane 6. Ikke-påvirkelige omk.'!C29</f>
        <v>3477572.4866086417</v>
      </c>
      <c r="D18" s="11" t="s">
        <v>3</v>
      </c>
      <c r="E18" s="1"/>
    </row>
    <row r="19" spans="1:5" ht="15" customHeight="1" x14ac:dyDescent="0.25">
      <c r="A19" s="1"/>
      <c r="B19" s="35" t="s">
        <v>78</v>
      </c>
      <c r="C19" s="36"/>
      <c r="D19" s="20"/>
      <c r="E19" s="1"/>
    </row>
    <row r="20" spans="1:5" ht="15" customHeight="1" x14ac:dyDescent="0.25">
      <c r="A20" s="1"/>
      <c r="B20" s="46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5" t="s">
        <v>77</v>
      </c>
      <c r="C21" s="36"/>
      <c r="D21" s="20"/>
      <c r="E21" s="1"/>
    </row>
    <row r="22" spans="1:5" ht="15" customHeight="1" x14ac:dyDescent="0.25">
      <c r="A22" s="1"/>
      <c r="B22" s="49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5" t="s">
        <v>171</v>
      </c>
      <c r="C25" s="36"/>
      <c r="D25" s="20"/>
      <c r="E25" s="1"/>
    </row>
    <row r="26" spans="1:5" ht="15" customHeight="1" x14ac:dyDescent="0.25">
      <c r="A26" s="1"/>
      <c r="B26" s="61" t="s">
        <v>287</v>
      </c>
      <c r="C26" s="10">
        <f>'Fane 7. Kontrol af ØR2020'!E32</f>
        <v>0</v>
      </c>
      <c r="D26" s="11" t="s">
        <v>3</v>
      </c>
      <c r="E26" s="1"/>
    </row>
    <row r="27" spans="1:5" x14ac:dyDescent="0.25">
      <c r="A27" s="1"/>
      <c r="B27" s="37" t="s">
        <v>262</v>
      </c>
      <c r="C27" s="36"/>
      <c r="D27" s="20"/>
      <c r="E27" s="1"/>
    </row>
    <row r="28" spans="1:5" x14ac:dyDescent="0.2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5" t="s">
        <v>86</v>
      </c>
      <c r="C29" s="12">
        <f>SUM(C16,C18,C20,C24,C26,C28)</f>
        <v>52016690.587445028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MIgZMrGZe8itlSS6Gl+pEdDmOqITTTeMlhSnQRXSfjIUVdvNBJThypqrzemmt8dtvNpxpUdJAY33KYyOq25WA==" saltValue="0oyqkLKSvzA4nkjOSFPZ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183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23</v>
      </c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139</v>
      </c>
      <c r="C8" s="7">
        <f>'Fane 2.2. Økonomisk ramme 2023'!C16</f>
        <v>48539118.100836389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160179.08973276007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-433406.64521659067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drift'!G56</f>
        <v>-218550.83027576603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anlæg'!G54</f>
        <v>-575972.65448021598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47471367.06059657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omk.'!C16*(1+'Fane 14. Nøgletal'!C14)^2+'Fane 6. Ikke-påvirkelige omk.'!C22+'Fane 6. Ikke-påvirkelige omk.'!C30</f>
        <v>3489048.4758144505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50960415.536411017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+WhR2nSSeuAyOGqYyDUnyL47tlC7iu8rRkGJtyEwZJyBr58va3G11S1hyCvAimQ7mg+Q0Hz37WxBQkkVVv96iA==" saltValue="tZkAgLhFBmrGB9gT1VxD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184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23</v>
      </c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185</v>
      </c>
      <c r="C8" s="7">
        <f>'Fane 2.3. Økonomisk ramme 2024'!C15</f>
        <v>47471367.06059657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156655.51129996867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-423872.67726695689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drift'!G62</f>
        <v>-214886.60705536255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anlæg'!G60</f>
        <v>-569320.83844924869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46419942.44912497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omk.'!C16*(1+'Fane 14. Nøgletal'!C14)^3+'Fane 6. Ikke-påvirkelige omk.'!C23+'Fane 6. Ikke-påvirkelige omk.'!C31</f>
        <v>3500562.3357846383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49920504.784909606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lydfrPGl9R8lfml04M4w3yvGMUcqg5FCpFNeCi2jz0AN6/JIjsBXQOAnPUodduL1axBqIjYQakJbPyHYLcj1A==" saltValue="eCq3DFWwdl9YvQKpLFvF1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187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84" t="s">
        <v>25</v>
      </c>
      <c r="C9" s="85"/>
      <c r="D9" s="86"/>
      <c r="E9" s="7">
        <v>50779811.552806519</v>
      </c>
      <c r="F9" s="8" t="s">
        <v>3</v>
      </c>
      <c r="G9" s="1"/>
    </row>
    <row r="10" spans="1:7" ht="14.25" customHeight="1" x14ac:dyDescent="0.25">
      <c r="A10" s="1"/>
      <c r="B10" s="90" t="s">
        <v>227</v>
      </c>
      <c r="C10" s="91"/>
      <c r="D10" s="92"/>
      <c r="E10" s="7">
        <v>0</v>
      </c>
      <c r="F10" s="8" t="s">
        <v>3</v>
      </c>
      <c r="G10" s="1"/>
    </row>
    <row r="11" spans="1:7" ht="14.25" customHeight="1" x14ac:dyDescent="0.25">
      <c r="A11" s="1"/>
      <c r="B11" s="90" t="s">
        <v>228</v>
      </c>
      <c r="C11" s="91"/>
      <c r="D11" s="92"/>
      <c r="E11" s="7">
        <v>234142.33430321843</v>
      </c>
      <c r="F11" s="8" t="s">
        <v>3</v>
      </c>
      <c r="G11" s="1"/>
    </row>
    <row r="12" spans="1:7" x14ac:dyDescent="0.25">
      <c r="A12" s="1"/>
      <c r="B12" s="90" t="s">
        <v>189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190</v>
      </c>
      <c r="C13" s="91"/>
      <c r="D13" s="92"/>
      <c r="E13" s="9">
        <v>75735.575087160323</v>
      </c>
      <c r="F13" s="8" t="s">
        <v>3</v>
      </c>
      <c r="G13" s="1"/>
    </row>
    <row r="14" spans="1:7" x14ac:dyDescent="0.25">
      <c r="A14" s="1"/>
      <c r="B14" s="87" t="s">
        <v>43</v>
      </c>
      <c r="C14" s="88"/>
      <c r="D14" s="89"/>
      <c r="E14" s="9">
        <v>0</v>
      </c>
      <c r="F14" s="8" t="s">
        <v>3</v>
      </c>
      <c r="G14" s="1"/>
    </row>
    <row r="15" spans="1:7" x14ac:dyDescent="0.25">
      <c r="A15" s="1"/>
      <c r="B15" s="87" t="s">
        <v>44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87" t="s">
        <v>30</v>
      </c>
      <c r="C16" s="88"/>
      <c r="D16" s="89"/>
      <c r="E16" s="9">
        <v>0</v>
      </c>
      <c r="F16" s="8" t="s">
        <v>3</v>
      </c>
      <c r="G16" s="1"/>
    </row>
    <row r="17" spans="1:7" x14ac:dyDescent="0.25">
      <c r="A17" s="1"/>
      <c r="B17" s="87" t="s">
        <v>29</v>
      </c>
      <c r="C17" s="88"/>
      <c r="D17" s="89"/>
      <c r="E17" s="9">
        <v>0</v>
      </c>
      <c r="F17" s="8" t="s">
        <v>3</v>
      </c>
      <c r="G17" s="1"/>
    </row>
    <row r="18" spans="1:7" x14ac:dyDescent="0.25">
      <c r="A18" s="1"/>
      <c r="B18" s="87" t="s">
        <v>137</v>
      </c>
      <c r="C18" s="88"/>
      <c r="D18" s="89"/>
      <c r="E18" s="9">
        <v>0</v>
      </c>
      <c r="F18" s="8" t="s">
        <v>3</v>
      </c>
      <c r="G18" s="1"/>
    </row>
    <row r="19" spans="1:7" x14ac:dyDescent="0.25">
      <c r="A19" s="1"/>
      <c r="B19" s="87" t="s">
        <v>138</v>
      </c>
      <c r="C19" s="88"/>
      <c r="D19" s="89"/>
      <c r="E19" s="9">
        <v>0</v>
      </c>
      <c r="F19" s="8" t="s">
        <v>3</v>
      </c>
      <c r="G19" s="1"/>
    </row>
    <row r="20" spans="1:7" x14ac:dyDescent="0.25">
      <c r="A20" s="1"/>
      <c r="B20" s="87" t="s">
        <v>20</v>
      </c>
      <c r="C20" s="88"/>
      <c r="D20" s="89"/>
      <c r="E20" s="9">
        <v>888672.83503872389</v>
      </c>
      <c r="F20" s="8" t="s">
        <v>3</v>
      </c>
      <c r="G20" s="1"/>
    </row>
    <row r="21" spans="1:7" x14ac:dyDescent="0.25">
      <c r="A21" s="1"/>
      <c r="B21" s="87" t="s">
        <v>10</v>
      </c>
      <c r="C21" s="88"/>
      <c r="D21" s="89"/>
      <c r="E21" s="9">
        <v>0</v>
      </c>
      <c r="F21" s="8" t="s">
        <v>3</v>
      </c>
      <c r="G21" s="1"/>
    </row>
    <row r="22" spans="1:7" x14ac:dyDescent="0.25">
      <c r="A22" s="1"/>
      <c r="B22" s="87" t="s">
        <v>27</v>
      </c>
      <c r="C22" s="88"/>
      <c r="D22" s="89"/>
      <c r="E22" s="9">
        <f>-'Fane 4.1. Gen. krav - drift'!G36</f>
        <v>-229922.67147793647</v>
      </c>
      <c r="F22" s="8" t="s">
        <v>3</v>
      </c>
      <c r="G22" s="1"/>
    </row>
    <row r="23" spans="1:7" x14ac:dyDescent="0.25">
      <c r="A23" s="1"/>
      <c r="B23" s="87" t="s">
        <v>28</v>
      </c>
      <c r="C23" s="88"/>
      <c r="D23" s="89"/>
      <c r="E23" s="9">
        <f>-'Fane 4.2. Gen. krav - anlæg'!G33</f>
        <v>-714025.27910376363</v>
      </c>
      <c r="F23" s="8" t="s">
        <v>3</v>
      </c>
      <c r="G23" s="1"/>
    </row>
    <row r="24" spans="1:7" x14ac:dyDescent="0.25">
      <c r="A24" s="1"/>
      <c r="B24" s="99" t="s">
        <v>22</v>
      </c>
      <c r="C24" s="100"/>
      <c r="D24" s="101"/>
      <c r="E24" s="10">
        <f>SUM(E9,E14:E23)</f>
        <v>50724536.437263541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96" t="s">
        <v>13</v>
      </c>
      <c r="C26" s="97"/>
      <c r="D26" s="98"/>
      <c r="E26" s="10">
        <v>5986723.6966975201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102" t="s">
        <v>78</v>
      </c>
      <c r="C28" s="103"/>
      <c r="D28" s="104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90" t="s">
        <v>73</v>
      </c>
      <c r="C30" s="91"/>
      <c r="D30" s="92"/>
      <c r="E30" s="33">
        <v>0</v>
      </c>
      <c r="F30" s="8" t="s">
        <v>3</v>
      </c>
      <c r="G30" s="1"/>
    </row>
    <row r="31" spans="1:7" ht="15.75" customHeight="1" x14ac:dyDescent="0.25">
      <c r="A31" s="1"/>
      <c r="B31" s="90" t="s">
        <v>74</v>
      </c>
      <c r="C31" s="91"/>
      <c r="D31" s="92"/>
      <c r="E31" s="33">
        <v>0</v>
      </c>
      <c r="F31" s="8" t="s">
        <v>3</v>
      </c>
      <c r="G31" s="1"/>
    </row>
    <row r="32" spans="1:7" x14ac:dyDescent="0.25">
      <c r="A32" s="1"/>
      <c r="B32" s="46" t="s">
        <v>79</v>
      </c>
      <c r="C32" s="44"/>
      <c r="D32" s="45"/>
      <c r="E32" s="10">
        <v>0</v>
      </c>
      <c r="F32" s="11" t="s">
        <v>3</v>
      </c>
      <c r="G32" s="1"/>
    </row>
    <row r="33" spans="1:7" x14ac:dyDescent="0.25">
      <c r="A33" s="1"/>
      <c r="B33" s="35" t="s">
        <v>283</v>
      </c>
      <c r="C33" s="36"/>
      <c r="D33" s="36"/>
      <c r="E33" s="36"/>
      <c r="F33" s="20"/>
      <c r="G33" s="1"/>
    </row>
    <row r="34" spans="1:7" ht="15" customHeight="1" x14ac:dyDescent="0.25">
      <c r="A34" s="1"/>
      <c r="B34" s="96" t="s">
        <v>283</v>
      </c>
      <c r="C34" s="97"/>
      <c r="D34" s="98"/>
      <c r="E34" s="10">
        <v>0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56711260.133961059</v>
      </c>
      <c r="F35" s="13" t="s">
        <v>3</v>
      </c>
      <c r="G35" s="1"/>
    </row>
    <row r="36" spans="1:7" ht="26.85" customHeight="1" x14ac:dyDescent="0.25">
      <c r="A36" s="1"/>
      <c r="B36" s="93" t="s">
        <v>226</v>
      </c>
      <c r="C36" s="94"/>
      <c r="D36" s="94"/>
      <c r="E36" s="94"/>
      <c r="F36" s="95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/bHVqhgB+lEnwCCi1qdVYbCEI30m9w/mVFWW+mEYcPhk5p/1XRA3j55HB13re6TYDSAGWrqvk8peuGpHzSGbfw==" saltValue="tdRtSdJGb8UKdtMQFwtapw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83" t="s">
        <v>121</v>
      </c>
      <c r="C1" s="83"/>
      <c r="D1" s="83"/>
      <c r="E1" s="83"/>
      <c r="F1" s="83"/>
      <c r="G1" s="83"/>
      <c r="H1" s="83"/>
      <c r="I1" s="1"/>
    </row>
    <row r="2" spans="1:9" ht="15" customHeight="1" x14ac:dyDescent="0.25">
      <c r="A2" s="1"/>
      <c r="B2" s="83"/>
      <c r="C2" s="83"/>
      <c r="D2" s="83"/>
      <c r="E2" s="83"/>
      <c r="F2" s="83"/>
      <c r="G2" s="83"/>
      <c r="H2" s="83"/>
      <c r="I2" s="1"/>
    </row>
    <row r="3" spans="1:9" ht="15" customHeight="1" x14ac:dyDescent="0.25">
      <c r="A3" s="1"/>
      <c r="B3" s="83"/>
      <c r="C3" s="83"/>
      <c r="D3" s="83"/>
      <c r="E3" s="83"/>
      <c r="F3" s="83"/>
      <c r="G3" s="83"/>
      <c r="H3" s="83"/>
      <c r="I3" s="1"/>
    </row>
    <row r="4" spans="1:9" x14ac:dyDescent="0.25">
      <c r="A4" s="1"/>
      <c r="B4" s="105" t="s">
        <v>229</v>
      </c>
      <c r="C4" s="106"/>
      <c r="D4" s="106"/>
      <c r="E4" s="106"/>
      <c r="F4" s="106"/>
      <c r="G4" s="106"/>
      <c r="H4" s="107"/>
      <c r="I4" s="1"/>
    </row>
    <row r="5" spans="1:9" x14ac:dyDescent="0.25">
      <c r="A5" s="1"/>
      <c r="B5" s="108" t="s">
        <v>230</v>
      </c>
      <c r="C5" s="109"/>
      <c r="D5" s="109"/>
      <c r="E5" s="109"/>
      <c r="F5" s="110"/>
      <c r="G5" s="24">
        <v>11628128.619265027</v>
      </c>
      <c r="H5" s="14" t="s">
        <v>3</v>
      </c>
      <c r="I5" s="1"/>
    </row>
    <row r="6" spans="1:9" ht="15" customHeight="1" x14ac:dyDescent="0.25">
      <c r="A6" s="1"/>
      <c r="B6" s="93" t="s">
        <v>231</v>
      </c>
      <c r="C6" s="94"/>
      <c r="D6" s="94"/>
      <c r="E6" s="94"/>
      <c r="F6" s="95"/>
      <c r="G6" s="7">
        <v>0</v>
      </c>
      <c r="H6" s="14" t="s">
        <v>3</v>
      </c>
      <c r="I6" s="1"/>
    </row>
    <row r="7" spans="1:9" x14ac:dyDescent="0.25">
      <c r="A7" s="1"/>
      <c r="B7" s="108" t="s">
        <v>232</v>
      </c>
      <c r="C7" s="109"/>
      <c r="D7" s="109"/>
      <c r="E7" s="109"/>
      <c r="F7" s="110"/>
      <c r="G7" s="24">
        <f>SUM(G5:G6)*'Fane 14. Nøgletal'!C29</f>
        <v>232562.57238530056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5" t="s">
        <v>53</v>
      </c>
      <c r="C10" s="106"/>
      <c r="D10" s="106"/>
      <c r="E10" s="106"/>
      <c r="F10" s="106"/>
      <c r="G10" s="106"/>
      <c r="H10" s="107"/>
      <c r="I10" s="1"/>
    </row>
    <row r="11" spans="1:9" x14ac:dyDescent="0.25">
      <c r="A11" s="1"/>
      <c r="B11" s="108" t="s">
        <v>233</v>
      </c>
      <c r="C11" s="109"/>
      <c r="D11" s="109"/>
      <c r="E11" s="109"/>
      <c r="F11" s="110"/>
      <c r="G11" s="24">
        <f>(G5-G7)*(1+'Fane 14. Nøgletal'!C10)</f>
        <v>11594988.452700123</v>
      </c>
      <c r="H11" s="14" t="s">
        <v>3</v>
      </c>
      <c r="I11" s="1"/>
    </row>
    <row r="12" spans="1:9" x14ac:dyDescent="0.25">
      <c r="A12" s="1"/>
      <c r="B12" s="108" t="s">
        <v>133</v>
      </c>
      <c r="C12" s="109"/>
      <c r="D12" s="109"/>
      <c r="E12" s="109"/>
      <c r="F12" s="110"/>
      <c r="G12" s="7">
        <v>0</v>
      </c>
      <c r="H12" s="14" t="s">
        <v>3</v>
      </c>
      <c r="I12" s="1"/>
    </row>
    <row r="13" spans="1:9" x14ac:dyDescent="0.25">
      <c r="A13" s="1"/>
      <c r="B13" s="93" t="s">
        <v>131</v>
      </c>
      <c r="C13" s="94"/>
      <c r="D13" s="94"/>
      <c r="E13" s="94"/>
      <c r="F13" s="95"/>
      <c r="G13" s="7">
        <v>0</v>
      </c>
      <c r="H13" s="14" t="s">
        <v>3</v>
      </c>
      <c r="I13" s="1"/>
    </row>
    <row r="14" spans="1:9" x14ac:dyDescent="0.25">
      <c r="A14" s="1"/>
      <c r="B14" s="116" t="s">
        <v>234</v>
      </c>
      <c r="C14" s="112"/>
      <c r="D14" s="112"/>
      <c r="E14" s="112"/>
      <c r="F14" s="113"/>
      <c r="G14" s="7">
        <v>0</v>
      </c>
      <c r="H14" s="14" t="s">
        <v>3</v>
      </c>
      <c r="I14" s="1"/>
    </row>
    <row r="15" spans="1:9" x14ac:dyDescent="0.25">
      <c r="A15" s="1"/>
      <c r="B15" s="108" t="s">
        <v>46</v>
      </c>
      <c r="C15" s="109"/>
      <c r="D15" s="109"/>
      <c r="E15" s="109"/>
      <c r="F15" s="110"/>
      <c r="G15" s="24">
        <f>SUM(G11:G14)*'Fane 14. Nøgletal'!C29</f>
        <v>231899.76905400248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5" t="s">
        <v>54</v>
      </c>
      <c r="C18" s="106"/>
      <c r="D18" s="106"/>
      <c r="E18" s="106"/>
      <c r="F18" s="106"/>
      <c r="G18" s="106"/>
      <c r="H18" s="107"/>
      <c r="I18" s="1"/>
    </row>
    <row r="19" spans="1:9" x14ac:dyDescent="0.25">
      <c r="A19" s="1"/>
      <c r="B19" s="108" t="s">
        <v>47</v>
      </c>
      <c r="C19" s="109"/>
      <c r="D19" s="109"/>
      <c r="E19" s="109"/>
      <c r="F19" s="110"/>
      <c r="G19" s="24">
        <f>(G11+G12+G14-G15)*(1+'Fane 14. Nøgletal'!C10)</f>
        <v>11561942.735609928</v>
      </c>
      <c r="H19" s="14" t="s">
        <v>3</v>
      </c>
      <c r="I19" s="1"/>
    </row>
    <row r="20" spans="1:9" x14ac:dyDescent="0.25">
      <c r="A20" s="1"/>
      <c r="B20" s="116" t="s">
        <v>48</v>
      </c>
      <c r="C20" s="112"/>
      <c r="D20" s="112"/>
      <c r="E20" s="112"/>
      <c r="F20" s="113"/>
      <c r="G20" s="7">
        <v>0</v>
      </c>
      <c r="H20" s="14" t="s">
        <v>3</v>
      </c>
      <c r="I20" s="1"/>
    </row>
    <row r="21" spans="1:9" x14ac:dyDescent="0.25">
      <c r="A21" s="1"/>
      <c r="B21" s="108" t="s">
        <v>49</v>
      </c>
      <c r="C21" s="109"/>
      <c r="D21" s="109"/>
      <c r="E21" s="109"/>
      <c r="F21" s="110"/>
      <c r="G21" s="24">
        <f>(G19+G20)*'Fane 14. Nøgletal'!C29</f>
        <v>231238.85471219858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5" t="s">
        <v>55</v>
      </c>
      <c r="C24" s="106"/>
      <c r="D24" s="106"/>
      <c r="E24" s="106"/>
      <c r="F24" s="106"/>
      <c r="G24" s="106"/>
      <c r="H24" s="107"/>
      <c r="I24" s="1"/>
    </row>
    <row r="25" spans="1:9" x14ac:dyDescent="0.25">
      <c r="A25" s="1"/>
      <c r="B25" s="108" t="s">
        <v>50</v>
      </c>
      <c r="C25" s="109"/>
      <c r="D25" s="109"/>
      <c r="E25" s="109"/>
      <c r="F25" s="110"/>
      <c r="G25" s="24">
        <f>G19*(1-'Fane 14. Nøgletal'!C29)*(1+'Fane 14. Nøgletal'!C10)+G20*(1-'Fane 14. Nøgletal'!C29)*(1+'Fane 14. Nøgletal'!C11)</f>
        <v>11528991.19881344</v>
      </c>
      <c r="H25" s="14" t="s">
        <v>3</v>
      </c>
      <c r="I25" s="1"/>
    </row>
    <row r="26" spans="1:9" x14ac:dyDescent="0.25">
      <c r="A26" s="1"/>
      <c r="B26" s="111" t="s">
        <v>235</v>
      </c>
      <c r="C26" s="114"/>
      <c r="D26" s="114"/>
      <c r="E26" s="114"/>
      <c r="F26" s="115"/>
      <c r="G26" s="7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16" t="s">
        <v>51</v>
      </c>
      <c r="C27" s="112"/>
      <c r="D27" s="112"/>
      <c r="E27" s="112"/>
      <c r="F27" s="113"/>
      <c r="G27" s="7">
        <v>0</v>
      </c>
      <c r="H27" s="14" t="s">
        <v>3</v>
      </c>
      <c r="I27" s="1"/>
    </row>
    <row r="28" spans="1:9" x14ac:dyDescent="0.25">
      <c r="A28" s="1"/>
      <c r="B28" s="108" t="s">
        <v>52</v>
      </c>
      <c r="C28" s="109"/>
      <c r="D28" s="109"/>
      <c r="E28" s="109"/>
      <c r="F28" s="110"/>
      <c r="G28" s="24">
        <f>SUM(G25,G27)*'Fane 14. Nøgletal'!C29</f>
        <v>230579.82397626882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5" t="s">
        <v>56</v>
      </c>
      <c r="C31" s="106"/>
      <c r="D31" s="106"/>
      <c r="E31" s="106"/>
      <c r="F31" s="106"/>
      <c r="G31" s="106"/>
      <c r="H31" s="107"/>
      <c r="I31" s="1"/>
    </row>
    <row r="32" spans="1:9" x14ac:dyDescent="0.25">
      <c r="A32" s="1"/>
      <c r="B32" s="108" t="s">
        <v>57</v>
      </c>
      <c r="C32" s="109"/>
      <c r="D32" s="109"/>
      <c r="E32" s="109"/>
      <c r="F32" s="110"/>
      <c r="G32" s="24">
        <f>(G25-G26)*(1-'Fane 14. Nøgletal'!C29)*(1+'Fane 14. Nøgletal'!C10)+G26*(1-'Fane 14. Nøgletal'!C29)*(1+'Fane 14. Nøgletal'!C11)+G27*(1-'Fane 14. Nøgletal'!C29)*(1+'Fane 14. Nøgletal'!C12)</f>
        <v>11496133.573896823</v>
      </c>
      <c r="H32" s="14" t="s">
        <v>3</v>
      </c>
      <c r="I32" s="1"/>
    </row>
    <row r="33" spans="1:9" x14ac:dyDescent="0.25">
      <c r="A33" s="1"/>
      <c r="B33" s="111" t="s">
        <v>235</v>
      </c>
      <c r="C33" s="112"/>
      <c r="D33" s="112"/>
      <c r="E33" s="112"/>
      <c r="F33" s="113"/>
      <c r="G33" s="7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1" t="s">
        <v>130</v>
      </c>
      <c r="C34" s="112"/>
      <c r="D34" s="112"/>
      <c r="E34" s="112"/>
      <c r="F34" s="113"/>
      <c r="G34" s="7">
        <f>G27*(1-'Fane 14. Nøgletal'!C29)*(1+'Fane 14. Nøgletal'!C12)</f>
        <v>0</v>
      </c>
      <c r="H34" s="14" t="s">
        <v>3</v>
      </c>
      <c r="I34" s="1"/>
    </row>
    <row r="35" spans="1:9" x14ac:dyDescent="0.25">
      <c r="A35" s="1"/>
      <c r="B35" s="108" t="s">
        <v>159</v>
      </c>
      <c r="C35" s="109"/>
      <c r="D35" s="109"/>
      <c r="E35" s="109"/>
      <c r="F35" s="110"/>
      <c r="G35" s="7">
        <v>0</v>
      </c>
      <c r="H35" s="14" t="s">
        <v>3</v>
      </c>
      <c r="I35" s="1"/>
    </row>
    <row r="36" spans="1:9" x14ac:dyDescent="0.25">
      <c r="A36" s="1"/>
      <c r="B36" s="108" t="s">
        <v>58</v>
      </c>
      <c r="C36" s="109"/>
      <c r="D36" s="109"/>
      <c r="E36" s="109"/>
      <c r="F36" s="110"/>
      <c r="G36" s="24">
        <f>SUM(G32,G35)*'Fane 14. Nøgletal'!C29</f>
        <v>229922.67147793647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5" t="s">
        <v>191</v>
      </c>
      <c r="C39" s="106"/>
      <c r="D39" s="106"/>
      <c r="E39" s="106"/>
      <c r="F39" s="106"/>
      <c r="G39" s="106"/>
      <c r="H39" s="107"/>
      <c r="I39" s="1"/>
    </row>
    <row r="40" spans="1:9" x14ac:dyDescent="0.25">
      <c r="A40" s="1"/>
      <c r="B40" s="108" t="s">
        <v>245</v>
      </c>
      <c r="C40" s="109"/>
      <c r="D40" s="109"/>
      <c r="E40" s="109"/>
      <c r="F40" s="110"/>
      <c r="G40" s="24">
        <f>(SUM(G32,G35)-G36)*(1+'Fane 14. Nøgletal'!C14)</f>
        <v>11303389.39839687</v>
      </c>
      <c r="H40" s="14" t="s">
        <v>3</v>
      </c>
      <c r="I40" s="1"/>
    </row>
    <row r="41" spans="1:9" x14ac:dyDescent="0.25">
      <c r="A41" s="1"/>
      <c r="B41" s="108" t="s">
        <v>244</v>
      </c>
      <c r="C41" s="109"/>
      <c r="D41" s="109"/>
      <c r="E41" s="109"/>
      <c r="F41" s="110"/>
      <c r="G41" s="7">
        <f>(SUM('Fane 2.1. Økonomisk ramme 2022'!C10,'Fane 2.1. Økonomisk ramme 2022'!C12,'Fane 2.1. Økonomisk ramme 2022'!C14)*(1+'Fane 14. Nøgletal'!C14))</f>
        <v>0</v>
      </c>
      <c r="H41" s="14" t="s">
        <v>3</v>
      </c>
      <c r="I41" s="1"/>
    </row>
    <row r="42" spans="1:9" x14ac:dyDescent="0.25">
      <c r="A42" s="1"/>
      <c r="B42" s="108" t="s">
        <v>243</v>
      </c>
      <c r="C42" s="109"/>
      <c r="D42" s="109"/>
      <c r="E42" s="109"/>
      <c r="F42" s="110"/>
      <c r="G42" s="24">
        <f>(G40+G41)*'Fane 14. Nøgletal'!C29</f>
        <v>226067.78796793742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5" t="s">
        <v>223</v>
      </c>
      <c r="C45" s="106"/>
      <c r="D45" s="106"/>
      <c r="E45" s="106"/>
      <c r="F45" s="106"/>
      <c r="G45" s="106"/>
      <c r="H45" s="107"/>
      <c r="I45" s="1"/>
    </row>
    <row r="46" spans="1:9" x14ac:dyDescent="0.25">
      <c r="A46" s="1"/>
      <c r="B46" s="108" t="s">
        <v>256</v>
      </c>
      <c r="C46" s="109"/>
      <c r="D46" s="109"/>
      <c r="E46" s="109"/>
      <c r="F46" s="110"/>
      <c r="G46" s="24">
        <f>(G40+G41-G42)*(1+'Fane 14. Nøgletal'!C14)</f>
        <v>11113876.77174335</v>
      </c>
      <c r="H46" s="14" t="s">
        <v>3</v>
      </c>
      <c r="I46" s="1"/>
    </row>
    <row r="47" spans="1:9" x14ac:dyDescent="0.25">
      <c r="A47" s="1"/>
      <c r="B47" s="111" t="s">
        <v>258</v>
      </c>
      <c r="C47" s="112"/>
      <c r="D47" s="112"/>
      <c r="E47" s="112"/>
      <c r="F47" s="113"/>
      <c r="G47" s="7">
        <f>G41*(1+'Fane 14. Nøgletal'!C14)</f>
        <v>0</v>
      </c>
      <c r="H47" s="14" t="s">
        <v>3</v>
      </c>
      <c r="I47" s="1"/>
    </row>
    <row r="48" spans="1:9" x14ac:dyDescent="0.25">
      <c r="A48" s="1"/>
      <c r="B48" s="108" t="s">
        <v>81</v>
      </c>
      <c r="C48" s="109"/>
      <c r="D48" s="109"/>
      <c r="E48" s="109"/>
      <c r="F48" s="110"/>
      <c r="G48" s="7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08" t="s">
        <v>257</v>
      </c>
      <c r="C49" s="109"/>
      <c r="D49" s="109"/>
      <c r="E49" s="109"/>
      <c r="F49" s="110"/>
      <c r="G49" s="24">
        <f>(G46+G48)*'Fane 14. Nøgletal'!C29</f>
        <v>222277.53543486699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05" t="s">
        <v>160</v>
      </c>
      <c r="C53" s="106"/>
      <c r="D53" s="106"/>
      <c r="E53" s="106"/>
      <c r="F53" s="106"/>
      <c r="G53" s="106"/>
      <c r="H53" s="107"/>
      <c r="I53" s="1"/>
    </row>
    <row r="54" spans="1:9" x14ac:dyDescent="0.25">
      <c r="A54" s="1"/>
      <c r="B54" s="108" t="s">
        <v>161</v>
      </c>
      <c r="C54" s="109"/>
      <c r="D54" s="109"/>
      <c r="E54" s="109"/>
      <c r="F54" s="110"/>
      <c r="G54" s="24">
        <f>(G46+G48-G49)*(1+'Fane 14. Nøgletal'!C14)</f>
        <v>10927541.513788301</v>
      </c>
      <c r="H54" s="14" t="s">
        <v>3</v>
      </c>
      <c r="I54" s="1"/>
    </row>
    <row r="55" spans="1:9" x14ac:dyDescent="0.25">
      <c r="A55" s="1"/>
      <c r="B55" s="108" t="s">
        <v>162</v>
      </c>
      <c r="C55" s="109"/>
      <c r="D55" s="109"/>
      <c r="E55" s="109"/>
      <c r="F55" s="110"/>
      <c r="G55" s="7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08" t="s">
        <v>163</v>
      </c>
      <c r="C56" s="109"/>
      <c r="D56" s="109"/>
      <c r="E56" s="109"/>
      <c r="F56" s="110"/>
      <c r="G56" s="24">
        <f>(G54+G55)*'Fane 14. Nøgletal'!C29</f>
        <v>218550.83027576603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05" t="s">
        <v>224</v>
      </c>
      <c r="C59" s="106"/>
      <c r="D59" s="106"/>
      <c r="E59" s="106"/>
      <c r="F59" s="106"/>
      <c r="G59" s="106"/>
      <c r="H59" s="107"/>
      <c r="I59" s="1"/>
    </row>
    <row r="60" spans="1:9" x14ac:dyDescent="0.25">
      <c r="A60" s="1"/>
      <c r="B60" s="53" t="s">
        <v>236</v>
      </c>
      <c r="C60" s="54"/>
      <c r="D60" s="54"/>
      <c r="E60" s="54"/>
      <c r="F60" s="55"/>
      <c r="G60" s="24">
        <f>(G54+G55-G56)*(1+'Fane 14. Nøgletal'!C14)</f>
        <v>10744330.352768127</v>
      </c>
      <c r="H60" s="14" t="s">
        <v>3</v>
      </c>
      <c r="I60" s="1"/>
    </row>
    <row r="61" spans="1:9" x14ac:dyDescent="0.25">
      <c r="A61" s="1"/>
      <c r="B61" s="53" t="s">
        <v>237</v>
      </c>
      <c r="C61" s="54"/>
      <c r="D61" s="54"/>
      <c r="E61" s="54"/>
      <c r="F61" s="55"/>
      <c r="G61" s="7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3" t="s">
        <v>238</v>
      </c>
      <c r="C62" s="54"/>
      <c r="D62" s="54"/>
      <c r="E62" s="54"/>
      <c r="F62" s="55"/>
      <c r="G62" s="24">
        <f>(G60+G61)*'Fane 14. Nøgletal'!C29</f>
        <v>214886.60705536255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lP9vFurrN19yd4oXbDdABVrZZ6Aq+x0RhJM25ApFg0/PEWIePbCquNuBiwvRjixPrdmH3JZEuNJYbUsOa048ZQ==" saltValue="Bc2djVE2JV9gBecPiZGa9g==" spinCount="100000" sheet="1" objects="1" scenarios="1"/>
  <mergeCells count="40">
    <mergeCell ref="B14:F14"/>
    <mergeCell ref="B15:F15"/>
    <mergeCell ref="B19:F19"/>
    <mergeCell ref="B20:F20"/>
    <mergeCell ref="B31:H31"/>
    <mergeCell ref="B21:F21"/>
    <mergeCell ref="B25:F25"/>
    <mergeCell ref="B27:F27"/>
    <mergeCell ref="B1:H3"/>
    <mergeCell ref="B4:H4"/>
    <mergeCell ref="B5:F5"/>
    <mergeCell ref="B7:F7"/>
    <mergeCell ref="B11:F11"/>
    <mergeCell ref="B10:H10"/>
    <mergeCell ref="B6:F6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59:H59"/>
    <mergeCell ref="B41:F41"/>
    <mergeCell ref="B47:F47"/>
    <mergeCell ref="B53:H53"/>
    <mergeCell ref="B54:F54"/>
    <mergeCell ref="B55:F55"/>
    <mergeCell ref="B56:F56"/>
    <mergeCell ref="B49:F49"/>
    <mergeCell ref="B48:F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17" t="s">
        <v>120</v>
      </c>
      <c r="C1" s="117"/>
      <c r="D1" s="117"/>
      <c r="E1" s="117"/>
      <c r="F1" s="117"/>
      <c r="G1" s="117"/>
      <c r="H1" s="117"/>
      <c r="I1" s="1"/>
    </row>
    <row r="2" spans="1:9" ht="28.5" customHeight="1" x14ac:dyDescent="0.25">
      <c r="A2" s="1"/>
      <c r="B2" s="117"/>
      <c r="C2" s="117"/>
      <c r="D2" s="117"/>
      <c r="E2" s="117"/>
      <c r="F2" s="117"/>
      <c r="G2" s="117"/>
      <c r="H2" s="117"/>
      <c r="I2" s="1"/>
    </row>
    <row r="3" spans="1:9" x14ac:dyDescent="0.25">
      <c r="A3" s="1"/>
      <c r="B3" s="105" t="s">
        <v>246</v>
      </c>
      <c r="C3" s="106"/>
      <c r="D3" s="106"/>
      <c r="E3" s="106"/>
      <c r="F3" s="106"/>
      <c r="G3" s="106"/>
      <c r="H3" s="107"/>
      <c r="I3" s="1"/>
    </row>
    <row r="4" spans="1:9" x14ac:dyDescent="0.25">
      <c r="A4" s="1"/>
      <c r="B4" s="108" t="s">
        <v>247</v>
      </c>
      <c r="C4" s="109"/>
      <c r="D4" s="109"/>
      <c r="E4" s="109"/>
      <c r="F4" s="110"/>
      <c r="G4" s="24">
        <v>39473247.317193583</v>
      </c>
      <c r="H4" s="14" t="s">
        <v>3</v>
      </c>
      <c r="I4" s="1"/>
    </row>
    <row r="5" spans="1:9" x14ac:dyDescent="0.25">
      <c r="A5" s="1"/>
      <c r="B5" s="108" t="s">
        <v>239</v>
      </c>
      <c r="C5" s="109"/>
      <c r="D5" s="109"/>
      <c r="E5" s="109"/>
      <c r="F5" s="110"/>
      <c r="G5" s="24">
        <f>G4*'Fane 14. Nøgletal'!C19</f>
        <v>359206.55058646161</v>
      </c>
      <c r="H5" s="14" t="s">
        <v>3</v>
      </c>
      <c r="I5" s="1"/>
    </row>
    <row r="6" spans="1:9" x14ac:dyDescent="0.25">
      <c r="A6" s="1"/>
      <c r="B6" s="35"/>
      <c r="C6" s="36"/>
      <c r="D6" s="36"/>
      <c r="E6" s="36"/>
      <c r="F6" s="36"/>
      <c r="G6" s="36"/>
      <c r="H6" s="20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59</v>
      </c>
      <c r="C8" s="106"/>
      <c r="D8" s="106"/>
      <c r="E8" s="106"/>
      <c r="F8" s="106"/>
      <c r="G8" s="106"/>
      <c r="H8" s="107"/>
      <c r="I8" s="1"/>
    </row>
    <row r="9" spans="1:9" x14ac:dyDescent="0.25">
      <c r="A9" s="1"/>
      <c r="B9" s="108" t="s">
        <v>248</v>
      </c>
      <c r="C9" s="109"/>
      <c r="D9" s="109"/>
      <c r="E9" s="109"/>
      <c r="F9" s="110"/>
      <c r="G9" s="24">
        <f>(G4-G5)*(1+'Fane 14. Nøgletal'!C10)</f>
        <v>39798536.480022751</v>
      </c>
      <c r="H9" s="14" t="s">
        <v>3</v>
      </c>
      <c r="I9" s="1"/>
    </row>
    <row r="10" spans="1:9" x14ac:dyDescent="0.25">
      <c r="A10" s="1"/>
      <c r="B10" s="108" t="s">
        <v>134</v>
      </c>
      <c r="C10" s="109"/>
      <c r="D10" s="109"/>
      <c r="E10" s="109"/>
      <c r="F10" s="110"/>
      <c r="G10" s="24">
        <v>362314.41305559839</v>
      </c>
      <c r="H10" s="14" t="s">
        <v>3</v>
      </c>
      <c r="I10" s="1"/>
    </row>
    <row r="11" spans="1:9" x14ac:dyDescent="0.25">
      <c r="A11" s="1"/>
      <c r="B11" s="116" t="s">
        <v>249</v>
      </c>
      <c r="C11" s="112"/>
      <c r="D11" s="112"/>
      <c r="E11" s="112"/>
      <c r="F11" s="113"/>
      <c r="G11" s="7">
        <v>0</v>
      </c>
      <c r="H11" s="14" t="s">
        <v>3</v>
      </c>
      <c r="I11" s="1"/>
    </row>
    <row r="12" spans="1:9" x14ac:dyDescent="0.25">
      <c r="A12" s="1"/>
      <c r="B12" s="108" t="s">
        <v>60</v>
      </c>
      <c r="C12" s="109"/>
      <c r="D12" s="109"/>
      <c r="E12" s="109"/>
      <c r="F12" s="110"/>
      <c r="G12" s="24">
        <f>SUM(G9:G11)*'Fane 14. Nøgletal'!C20</f>
        <v>710847.06080748676</v>
      </c>
      <c r="H12" s="14" t="s">
        <v>3</v>
      </c>
      <c r="I12" s="1"/>
    </row>
    <row r="13" spans="1:9" x14ac:dyDescent="0.25">
      <c r="A13" s="1"/>
      <c r="B13" s="35"/>
      <c r="C13" s="36"/>
      <c r="D13" s="36"/>
      <c r="E13" s="36"/>
      <c r="F13" s="36"/>
      <c r="G13" s="3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5" t="s">
        <v>61</v>
      </c>
      <c r="C15" s="106"/>
      <c r="D15" s="106"/>
      <c r="E15" s="106"/>
      <c r="F15" s="106"/>
      <c r="G15" s="106"/>
      <c r="H15" s="107"/>
      <c r="I15" s="1"/>
    </row>
    <row r="16" spans="1:9" x14ac:dyDescent="0.25">
      <c r="A16" s="1"/>
      <c r="B16" s="108" t="s">
        <v>62</v>
      </c>
      <c r="C16" s="109"/>
      <c r="D16" s="109"/>
      <c r="E16" s="109"/>
      <c r="F16" s="110"/>
      <c r="G16" s="24">
        <f>(G9+G10+G11-G12)*(1+'Fane 14. Nøgletal'!C10)</f>
        <v>40140378.8993356</v>
      </c>
      <c r="H16" s="14" t="s">
        <v>3</v>
      </c>
      <c r="I16" s="1"/>
    </row>
    <row r="17" spans="1:9" x14ac:dyDescent="0.25">
      <c r="A17" s="1"/>
      <c r="B17" s="116" t="s">
        <v>63</v>
      </c>
      <c r="C17" s="112"/>
      <c r="D17" s="112"/>
      <c r="E17" s="112"/>
      <c r="F17" s="113"/>
      <c r="G17" s="24">
        <v>234310.35611306995</v>
      </c>
      <c r="H17" s="14" t="s">
        <v>3</v>
      </c>
      <c r="I17" s="1"/>
    </row>
    <row r="18" spans="1:9" x14ac:dyDescent="0.25">
      <c r="A18" s="1"/>
      <c r="B18" s="108" t="s">
        <v>64</v>
      </c>
      <c r="C18" s="109"/>
      <c r="D18" s="109"/>
      <c r="E18" s="109"/>
      <c r="F18" s="110"/>
      <c r="G18" s="24">
        <f>G16*'Fane 14. Nøgletal'!C20+G17*'Fane 14. Nøgletal'!C21</f>
        <v>712523.20661642391</v>
      </c>
      <c r="H18" s="14" t="s">
        <v>3</v>
      </c>
      <c r="I18" s="1"/>
    </row>
    <row r="19" spans="1:9" x14ac:dyDescent="0.25">
      <c r="A19" s="1"/>
      <c r="B19" s="35"/>
      <c r="C19" s="36"/>
      <c r="D19" s="36"/>
      <c r="E19" s="36"/>
      <c r="F19" s="36"/>
      <c r="G19" s="36"/>
      <c r="H19" s="20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05" t="s">
        <v>222</v>
      </c>
      <c r="C21" s="106"/>
      <c r="D21" s="106"/>
      <c r="E21" s="106"/>
      <c r="F21" s="106"/>
      <c r="G21" s="106"/>
      <c r="H21" s="107"/>
      <c r="I21" s="1"/>
    </row>
    <row r="22" spans="1:9" x14ac:dyDescent="0.25">
      <c r="A22" s="1"/>
      <c r="B22" s="108" t="s">
        <v>65</v>
      </c>
      <c r="C22" s="109"/>
      <c r="D22" s="109"/>
      <c r="E22" s="109"/>
      <c r="F22" s="110"/>
      <c r="G22" s="24">
        <f>G16*(1-'Fane 14. Nøgletal'!C20)*(1+'Fane 14. Nøgletal'!C10)+G17*(1-'Fane 14. Nøgletal'!C21)*(1+'Fane 14. Nøgletal'!C11)</f>
        <v>40356114.591573201</v>
      </c>
      <c r="H22" s="14" t="s">
        <v>3</v>
      </c>
      <c r="I22" s="1"/>
    </row>
    <row r="23" spans="1:9" x14ac:dyDescent="0.25">
      <c r="A23" s="1"/>
      <c r="B23" s="111" t="s">
        <v>250</v>
      </c>
      <c r="C23" s="112"/>
      <c r="D23" s="112"/>
      <c r="E23" s="112"/>
      <c r="F23" s="113"/>
      <c r="G23" s="24">
        <f>G17*(1-'Fane 14. Nøgletal'!C21)*(1+'Fane 14. Nøgletal'!C11)</f>
        <v>236197.2503815378</v>
      </c>
      <c r="H23" s="14" t="s">
        <v>3</v>
      </c>
      <c r="I23" s="1"/>
    </row>
    <row r="24" spans="1:9" x14ac:dyDescent="0.25">
      <c r="A24" s="1"/>
      <c r="B24" s="116" t="s">
        <v>66</v>
      </c>
      <c r="C24" s="112"/>
      <c r="D24" s="112"/>
      <c r="E24" s="112"/>
      <c r="F24" s="113"/>
      <c r="G24" s="24">
        <v>77949.336236270407</v>
      </c>
      <c r="H24" s="14" t="s">
        <v>3</v>
      </c>
      <c r="I24" s="1"/>
    </row>
    <row r="25" spans="1:9" x14ac:dyDescent="0.25">
      <c r="A25" s="1"/>
      <c r="B25" s="108" t="s">
        <v>67</v>
      </c>
      <c r="C25" s="109"/>
      <c r="D25" s="109"/>
      <c r="E25" s="109"/>
      <c r="F25" s="110"/>
      <c r="G25" s="24">
        <f>(G22-G23)*'Fane 14. Nøgletal'!C21+G23*'Fane 14. Nøgletal'!C22+G24*'Fane 14. Nøgletal'!C23</f>
        <v>357894.88952570059</v>
      </c>
      <c r="H25" s="14" t="s">
        <v>3</v>
      </c>
      <c r="I25" s="1"/>
    </row>
    <row r="26" spans="1:9" x14ac:dyDescent="0.25">
      <c r="A26" s="1"/>
      <c r="B26" s="35"/>
      <c r="C26" s="36"/>
      <c r="D26" s="36"/>
      <c r="E26" s="36"/>
      <c r="F26" s="36"/>
      <c r="G26" s="3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5" t="s">
        <v>68</v>
      </c>
      <c r="C28" s="106"/>
      <c r="D28" s="106"/>
      <c r="E28" s="106"/>
      <c r="F28" s="106"/>
      <c r="G28" s="106"/>
      <c r="H28" s="107"/>
      <c r="I28" s="1"/>
    </row>
    <row r="29" spans="1:9" x14ac:dyDescent="0.25">
      <c r="A29" s="1"/>
      <c r="B29" s="108" t="s">
        <v>69</v>
      </c>
      <c r="C29" s="109"/>
      <c r="D29" s="109"/>
      <c r="E29" s="109"/>
      <c r="F29" s="110"/>
      <c r="G29" s="24">
        <f>(G22-G23)*(1-'Fane 14. Nøgletal'!C20)*(1+'Fane 14. Nøgletal'!C10)+G23*(1-'Fane 14. Nøgletal'!C21)*(1+'Fane 14. Nøgletal'!C11)+G24*(1-'Fane 14. Nøgletal'!C22)*(1+'Fane 14. Nøgletal'!C12)</f>
        <v>40414793.118996315</v>
      </c>
      <c r="H29" s="14" t="s">
        <v>3</v>
      </c>
      <c r="I29" s="1"/>
    </row>
    <row r="30" spans="1:9" x14ac:dyDescent="0.25">
      <c r="A30" s="1"/>
      <c r="B30" s="111" t="s">
        <v>251</v>
      </c>
      <c r="C30" s="112"/>
      <c r="D30" s="112"/>
      <c r="E30" s="112"/>
      <c r="F30" s="113"/>
      <c r="G30" s="24">
        <f>G23*(1-'Fane 14. Nøgletal'!C21)*(1+'Fane 14. Nøgletal'!C11)</f>
        <v>238099.33975294279</v>
      </c>
      <c r="H30" s="14" t="s">
        <v>3</v>
      </c>
      <c r="I30" s="1"/>
    </row>
    <row r="31" spans="1:9" x14ac:dyDescent="0.25">
      <c r="A31" s="1"/>
      <c r="B31" s="111" t="s">
        <v>129</v>
      </c>
      <c r="C31" s="112"/>
      <c r="D31" s="112"/>
      <c r="E31" s="112"/>
      <c r="F31" s="113"/>
      <c r="G31" s="24">
        <f>G24*(1-'Fane 14. Nøgletal'!C22)*(1+'Fane 14. Nøgletal'!C12)</f>
        <v>77227.565916377382</v>
      </c>
      <c r="H31" s="14" t="s">
        <v>3</v>
      </c>
      <c r="I31" s="1"/>
    </row>
    <row r="32" spans="1:9" x14ac:dyDescent="0.25">
      <c r="A32" s="1"/>
      <c r="B32" s="108" t="s">
        <v>164</v>
      </c>
      <c r="C32" s="109"/>
      <c r="D32" s="109"/>
      <c r="E32" s="109"/>
      <c r="F32" s="110"/>
      <c r="G32" s="7">
        <v>0</v>
      </c>
      <c r="H32" s="14" t="s">
        <v>3</v>
      </c>
      <c r="I32" s="1"/>
    </row>
    <row r="33" spans="1:9" x14ac:dyDescent="0.25">
      <c r="A33" s="1"/>
      <c r="B33" s="108" t="s">
        <v>70</v>
      </c>
      <c r="C33" s="109"/>
      <c r="D33" s="109"/>
      <c r="E33" s="109"/>
      <c r="F33" s="110"/>
      <c r="G33" s="24">
        <f>(G29-SUM(G30:G31))*'Fane 14. Nøgletal'!C20+G30*'Fane 14. Nøgletal'!C21+G31*'Fane 14. Nøgletal'!C22+G32*'Fane 14. Nøgletal'!C23</f>
        <v>714025.27910376363</v>
      </c>
      <c r="H33" s="14" t="s">
        <v>3</v>
      </c>
      <c r="I33" s="1"/>
    </row>
    <row r="34" spans="1:9" x14ac:dyDescent="0.25">
      <c r="A34" s="1"/>
      <c r="B34" s="35"/>
      <c r="C34" s="36"/>
      <c r="D34" s="36"/>
      <c r="E34" s="36"/>
      <c r="F34" s="36"/>
      <c r="G34" s="36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5" t="s">
        <v>192</v>
      </c>
      <c r="C36" s="106"/>
      <c r="D36" s="106"/>
      <c r="E36" s="106"/>
      <c r="F36" s="106"/>
      <c r="G36" s="106"/>
      <c r="H36" s="107"/>
      <c r="I36" s="1"/>
    </row>
    <row r="37" spans="1:9" x14ac:dyDescent="0.25">
      <c r="A37" s="1"/>
      <c r="B37" s="108" t="s">
        <v>252</v>
      </c>
      <c r="C37" s="109"/>
      <c r="D37" s="109"/>
      <c r="E37" s="109"/>
      <c r="F37" s="110"/>
      <c r="G37" s="24">
        <f>(SUM(G29,G32)-G33)*(1+'Fane 14. Nøgletal'!C14)</f>
        <v>39831780.373764202</v>
      </c>
      <c r="H37" s="14" t="s">
        <v>3</v>
      </c>
      <c r="I37" s="1"/>
    </row>
    <row r="38" spans="1:9" x14ac:dyDescent="0.25">
      <c r="A38" s="1"/>
      <c r="B38" s="108" t="s">
        <v>193</v>
      </c>
      <c r="C38" s="109"/>
      <c r="D38" s="109"/>
      <c r="E38" s="109"/>
      <c r="F38" s="110"/>
      <c r="G38" s="7">
        <f>SUM('Fane 2.1. Økonomisk ramme 2022'!C11,'Fane 2.1. Økonomisk ramme 2022'!C13,'Fane 2.1. Økonomisk ramme 2022'!C15)*(1+'Fane 14. Nøgletal'!C14)</f>
        <v>0</v>
      </c>
      <c r="H38" s="14" t="s">
        <v>3</v>
      </c>
      <c r="I38" s="1"/>
    </row>
    <row r="39" spans="1:9" x14ac:dyDescent="0.25">
      <c r="A39" s="1"/>
      <c r="B39" s="108" t="s">
        <v>194</v>
      </c>
      <c r="C39" s="109"/>
      <c r="D39" s="109"/>
      <c r="E39" s="109"/>
      <c r="F39" s="110"/>
      <c r="G39" s="24">
        <f>(G37+G38)*'Fane 14. Nøgletal'!C24</f>
        <v>589510.34953171026</v>
      </c>
      <c r="H39" s="14" t="s">
        <v>3</v>
      </c>
      <c r="I39" s="1"/>
    </row>
    <row r="40" spans="1:9" x14ac:dyDescent="0.25">
      <c r="A40" s="1"/>
      <c r="B40" s="35"/>
      <c r="C40" s="36"/>
      <c r="D40" s="36"/>
      <c r="E40" s="36"/>
      <c r="F40" s="36"/>
      <c r="G40" s="36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05" t="s">
        <v>253</v>
      </c>
      <c r="C42" s="106"/>
      <c r="D42" s="106"/>
      <c r="E42" s="106"/>
      <c r="F42" s="106"/>
      <c r="G42" s="106"/>
      <c r="H42" s="107"/>
      <c r="I42" s="1"/>
    </row>
    <row r="43" spans="1:9" x14ac:dyDescent="0.25">
      <c r="A43" s="1"/>
      <c r="B43" s="108" t="s">
        <v>71</v>
      </c>
      <c r="C43" s="109"/>
      <c r="D43" s="109"/>
      <c r="E43" s="109"/>
      <c r="F43" s="110"/>
      <c r="G43" s="24">
        <f>(G37+G38-G39)*(1+'Fane 14. Nøgletal'!C14)</f>
        <v>39371769.515312463</v>
      </c>
      <c r="H43" s="14" t="s">
        <v>3</v>
      </c>
      <c r="I43" s="1"/>
    </row>
    <row r="44" spans="1:9" x14ac:dyDescent="0.25">
      <c r="A44" s="1"/>
      <c r="B44" s="111" t="s">
        <v>260</v>
      </c>
      <c r="C44" s="112"/>
      <c r="D44" s="112"/>
      <c r="E44" s="112"/>
      <c r="F44" s="113"/>
      <c r="G44" s="7">
        <f>G38*(1+'Fane 14. Nøgletal'!C14)</f>
        <v>0</v>
      </c>
      <c r="H44" s="14" t="s">
        <v>3</v>
      </c>
      <c r="I44" s="1"/>
    </row>
    <row r="45" spans="1:9" x14ac:dyDescent="0.25">
      <c r="A45" s="1"/>
      <c r="B45" s="108" t="s">
        <v>85</v>
      </c>
      <c r="C45" s="109"/>
      <c r="D45" s="109"/>
      <c r="E45" s="109"/>
      <c r="F45" s="110"/>
      <c r="G45" s="7">
        <f>-'Fane 13. Bortfald'!E18*(1+'Fane 14. Nøgletal'!C14)</f>
        <v>0</v>
      </c>
      <c r="H45" s="14" t="s">
        <v>3</v>
      </c>
      <c r="I45" s="1"/>
    </row>
    <row r="46" spans="1:9" x14ac:dyDescent="0.25">
      <c r="A46" s="1"/>
      <c r="B46" s="108" t="s">
        <v>259</v>
      </c>
      <c r="C46" s="109"/>
      <c r="D46" s="109"/>
      <c r="E46" s="109"/>
      <c r="F46" s="110"/>
      <c r="G46" s="24">
        <f>(G43+G45)*'Fane 14. Nøgletal'!C24</f>
        <v>582702.18882662454</v>
      </c>
      <c r="H46" s="14" t="s">
        <v>3</v>
      </c>
      <c r="I46" s="1"/>
    </row>
    <row r="47" spans="1:9" x14ac:dyDescent="0.25">
      <c r="A47" s="1"/>
      <c r="B47" s="35"/>
      <c r="C47" s="36"/>
      <c r="D47" s="36"/>
      <c r="E47" s="36"/>
      <c r="F47" s="36"/>
      <c r="G47" s="36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5" t="s">
        <v>165</v>
      </c>
      <c r="C51" s="106"/>
      <c r="D51" s="106"/>
      <c r="E51" s="106"/>
      <c r="F51" s="106"/>
      <c r="G51" s="106"/>
      <c r="H51" s="107"/>
      <c r="I51" s="1"/>
    </row>
    <row r="52" spans="1:9" x14ac:dyDescent="0.25">
      <c r="A52" s="1"/>
      <c r="B52" s="108" t="s">
        <v>166</v>
      </c>
      <c r="C52" s="109"/>
      <c r="D52" s="109"/>
      <c r="E52" s="109"/>
      <c r="F52" s="110"/>
      <c r="G52" s="24">
        <f>(G43+G45-G46)*(1+'Fane 14. Nøgletal'!C14)</f>
        <v>38917071.248663239</v>
      </c>
      <c r="H52" s="14" t="s">
        <v>3</v>
      </c>
      <c r="I52" s="1"/>
    </row>
    <row r="53" spans="1:9" x14ac:dyDescent="0.25">
      <c r="A53" s="1"/>
      <c r="B53" s="108" t="s">
        <v>167</v>
      </c>
      <c r="C53" s="109"/>
      <c r="D53" s="109"/>
      <c r="E53" s="109"/>
      <c r="F53" s="110"/>
      <c r="G53" s="7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08" t="s">
        <v>168</v>
      </c>
      <c r="C54" s="109"/>
      <c r="D54" s="109"/>
      <c r="E54" s="109"/>
      <c r="F54" s="110"/>
      <c r="G54" s="24">
        <f>(G52+G53)*'Fane 14. Nøgletal'!C24</f>
        <v>575972.65448021598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5" t="s">
        <v>225</v>
      </c>
      <c r="C57" s="106"/>
      <c r="D57" s="106"/>
      <c r="E57" s="106"/>
      <c r="F57" s="106"/>
      <c r="G57" s="106"/>
      <c r="H57" s="107"/>
      <c r="I57" s="1"/>
    </row>
    <row r="58" spans="1:9" x14ac:dyDescent="0.25">
      <c r="A58" s="1"/>
      <c r="B58" s="108" t="s">
        <v>166</v>
      </c>
      <c r="C58" s="109"/>
      <c r="D58" s="109"/>
      <c r="E58" s="109"/>
      <c r="F58" s="110"/>
      <c r="G58" s="24">
        <f>(G52+G53-G54)*(1+'Fane 14. Nøgletal'!C14)</f>
        <v>38467624.21954383</v>
      </c>
      <c r="H58" s="14" t="s">
        <v>3</v>
      </c>
      <c r="I58" s="1"/>
    </row>
    <row r="59" spans="1:9" x14ac:dyDescent="0.25">
      <c r="A59" s="1"/>
      <c r="B59" s="108" t="s">
        <v>254</v>
      </c>
      <c r="C59" s="109"/>
      <c r="D59" s="109"/>
      <c r="E59" s="109"/>
      <c r="F59" s="110"/>
      <c r="G59" s="7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08" t="s">
        <v>255</v>
      </c>
      <c r="C60" s="109"/>
      <c r="D60" s="109"/>
      <c r="E60" s="109"/>
      <c r="F60" s="110"/>
      <c r="G60" s="24">
        <f>(G58+G59)*'Fane 14. Nøgletal'!C24</f>
        <v>569320.83844924869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bwH0TN764SrBAMu0+BW8pu1gEDsMykTxvjpZGhcux9Tz55NMgrzCKPrdDpOYn4sgbZ88AsYezFRL9gK6b33n/A==" saltValue="NXT1hNF/Y/I/AKWOa7FWhg==" spinCount="100000" sheet="1" objects="1" scenarios="1"/>
  <mergeCells count="41">
    <mergeCell ref="B1:H2"/>
    <mergeCell ref="B18:F18"/>
    <mergeCell ref="B3:H3"/>
    <mergeCell ref="B4:F4"/>
    <mergeCell ref="B5:F5"/>
    <mergeCell ref="B8:H8"/>
    <mergeCell ref="B10:F10"/>
    <mergeCell ref="B9:F9"/>
    <mergeCell ref="B11:F11"/>
    <mergeCell ref="B12:F12"/>
    <mergeCell ref="B16:F16"/>
    <mergeCell ref="B39:F39"/>
    <mergeCell ref="B42:H42"/>
    <mergeCell ref="B23:F23"/>
    <mergeCell ref="B28:H28"/>
    <mergeCell ref="B29:F29"/>
    <mergeCell ref="B33:F33"/>
    <mergeCell ref="B36:H36"/>
    <mergeCell ref="B32:F32"/>
    <mergeCell ref="B21:H21"/>
    <mergeCell ref="B15:H15"/>
    <mergeCell ref="B17:F17"/>
    <mergeCell ref="B22:F22"/>
    <mergeCell ref="B38:F38"/>
    <mergeCell ref="B30:F30"/>
    <mergeCell ref="B31:F31"/>
    <mergeCell ref="B37:F37"/>
    <mergeCell ref="B24:F24"/>
    <mergeCell ref="B25:F25"/>
    <mergeCell ref="B57:H57"/>
    <mergeCell ref="B43:F43"/>
    <mergeCell ref="B58:F58"/>
    <mergeCell ref="B59:F59"/>
    <mergeCell ref="B60:F60"/>
    <mergeCell ref="B44:F44"/>
    <mergeCell ref="B45:F45"/>
    <mergeCell ref="B53:F53"/>
    <mergeCell ref="B52:F52"/>
    <mergeCell ref="B54:F54"/>
    <mergeCell ref="B51:H51"/>
    <mergeCell ref="B46:F4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80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10</v>
      </c>
      <c r="C8" s="106"/>
      <c r="D8" s="106"/>
      <c r="E8" s="106"/>
      <c r="F8" s="106"/>
      <c r="G8" s="106"/>
      <c r="H8" s="107"/>
      <c r="I8" s="1"/>
    </row>
    <row r="9" spans="1:9" x14ac:dyDescent="0.25">
      <c r="A9" s="1"/>
      <c r="B9" s="108" t="s">
        <v>261</v>
      </c>
      <c r="C9" s="109"/>
      <c r="D9" s="109"/>
      <c r="E9" s="109"/>
      <c r="F9" s="110"/>
      <c r="G9" s="23">
        <v>4.4280032972038412E-3</v>
      </c>
      <c r="H9" s="14"/>
      <c r="I9" s="1"/>
    </row>
    <row r="10" spans="1:9" x14ac:dyDescent="0.25">
      <c r="A10" s="1"/>
      <c r="B10" s="108" t="s">
        <v>105</v>
      </c>
      <c r="C10" s="109"/>
      <c r="D10" s="109"/>
      <c r="E10" s="109"/>
      <c r="F10" s="110"/>
      <c r="G10" s="23">
        <v>0</v>
      </c>
      <c r="H10" s="14"/>
      <c r="I10" s="1"/>
    </row>
    <row r="11" spans="1:9" x14ac:dyDescent="0.25">
      <c r="A11" s="1"/>
      <c r="B11" s="108" t="s">
        <v>195</v>
      </c>
      <c r="C11" s="109"/>
      <c r="D11" s="109"/>
      <c r="E11" s="109"/>
      <c r="F11" s="110"/>
      <c r="G11" s="23">
        <v>8.8996488700974919E-3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18" t="s">
        <v>196</v>
      </c>
      <c r="C13" s="118"/>
      <c r="D13" s="118"/>
      <c r="E13" s="118"/>
      <c r="F13" s="118"/>
      <c r="G13" s="118"/>
      <c r="H13" s="118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RxGjFzAhEiieW192AxphS/60Qt8SFI9fGeljp7nHNl8M9OfrjybfEjxqlcvzSfERskvL4RJJE7vnj/m4nHmWw==" saltValue="bp/UuDlMkBAhoQ9tpMqeiA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2021-10-14T14:21:31Z</dcterms:modified>
</cp:coreProperties>
</file>