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5090" yWindow="615" windowWidth="11460" windowHeight="135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21" i="2" l="1"/>
  <c r="E22" i="2" s="1"/>
  <c r="G42" i="12"/>
  <c r="G30" i="13" l="1"/>
  <c r="E15" i="6" l="1"/>
  <c r="E15" i="5"/>
  <c r="E15" i="4"/>
  <c r="G10" i="9"/>
  <c r="F13" i="11" l="1"/>
  <c r="F14" i="11"/>
  <c r="E35" i="13" l="1"/>
  <c r="G35" i="13" s="1"/>
  <c r="E27" i="13"/>
  <c r="E19" i="13"/>
  <c r="E15" i="13"/>
  <c r="G11" i="12"/>
  <c r="G29" i="12"/>
  <c r="E19" i="2" s="1"/>
  <c r="G23" i="12"/>
  <c r="E18" i="2" s="1"/>
  <c r="G17" i="12"/>
  <c r="E17" i="2" s="1"/>
  <c r="F11" i="11"/>
  <c r="F12" i="11"/>
  <c r="F15" i="11"/>
  <c r="F16" i="11"/>
  <c r="F17" i="11"/>
  <c r="F10" i="11"/>
  <c r="G13" i="10"/>
  <c r="E14" i="2" s="1"/>
  <c r="G14" i="2" s="1"/>
  <c r="G12" i="7"/>
  <c r="G15" i="6"/>
  <c r="G15" i="5"/>
  <c r="G15" i="4"/>
  <c r="E16" i="2"/>
  <c r="E10" i="2"/>
  <c r="E10" i="4" s="1"/>
  <c r="E10" i="5" s="1"/>
  <c r="E10" i="6" s="1"/>
  <c r="E28" i="13" l="1"/>
  <c r="G28" i="13" s="1"/>
  <c r="G36" i="13" s="1"/>
  <c r="E24" i="2" s="1"/>
  <c r="G24" i="2" s="1"/>
  <c r="F18" i="11"/>
  <c r="G35" i="12" s="1"/>
  <c r="G36" i="12" s="1"/>
  <c r="E20" i="2" s="1"/>
  <c r="G22" i="2" s="1"/>
  <c r="G9" i="9"/>
  <c r="E9" i="2"/>
  <c r="G11" i="9" l="1"/>
  <c r="E11" i="2" s="1"/>
  <c r="E12" i="2" l="1"/>
  <c r="G12" i="2" s="1"/>
  <c r="G25" i="2" s="1"/>
  <c r="E9" i="4"/>
  <c r="E12" i="4" l="1"/>
  <c r="E9" i="5"/>
  <c r="E11" i="4"/>
  <c r="E13" i="4" s="1"/>
  <c r="G13" i="4" s="1"/>
  <c r="G16" i="4" s="1"/>
  <c r="E11" i="5" l="1"/>
  <c r="E12" i="5"/>
  <c r="E13" i="5" s="1"/>
  <c r="G13" i="5" s="1"/>
  <c r="G16" i="5" s="1"/>
  <c r="E9" i="6" l="1"/>
  <c r="E12" i="6" s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<sst xmlns="http://schemas.openxmlformats.org/spreadsheetml/2006/main" count="276" uniqueCount="134">
  <si>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</si>
  <si>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</si>
  <si>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</si>
  <si>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</si>
  <si>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</si>
  <si>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</si>
  <si>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</si>
  <si>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</si>
  <si>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</si>
  <si>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</si>
  <si>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</si>
  <si>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</si>
  <si>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</si>
  <si>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</si>
  <si>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</si>
  <si>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</si>
  <si>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</si>
  <si>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</si>
  <si>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</si>
  <si>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</si>
  <si>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</si>
  <si>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</si>
  <si>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</si>
  <si>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</si>
  <si>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</si>
  <si>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</si>
  <si>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</si>
  <si>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</si>
  <si>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</si>
  <si>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</si>
  <si>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</si>
  <si>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</si>
  <si>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</si>
  <si>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</si>
  <si>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</si>
  <si>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</si>
  <si>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</si>
  <si>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</si>
  <si>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</si>
  <si>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</si>
  <si>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</si>
  <si>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</si>
  <si>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</si>
  <si>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</si>
  <si>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</si>
  <si>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</si>
  <si>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</si>
  <si>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</si>
  <si>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</si>
  <si>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</si>
  <si>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</si>
  <si>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</si>
  <si>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</si>
  <si>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</si>
  <si>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</si>
  <si>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</si>
  <si>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</si>
  <si>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</si>
  <si>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</si>
  <si>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</si>
  <si>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</si>
  <si>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</si>
  <si>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</si>
  <si>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</si>
  <si>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</si>
  <si>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</si>
  <si>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</si>
  <si>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</si>
  <si>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</si>
  <si>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</si>
  <si>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</si>
  <si>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</si>
  <si>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</si>
  <si>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</si>
  <si>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</si>
  <si>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</si>
  <si>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</si>
  <si>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</si>
  <si>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</si>
  <si>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</si>
  <si>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</si>
  <si>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</si>
  <si>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</si>
  <si>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</si>
  <si>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</si>
  <si>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</si>
  <si>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</si>
  <si>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</si>
  <si>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</si>
  <si>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</si>
  <si>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</si>
  <si>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</si>
  <si>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</si>
  <si>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</si>
  <si>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</si>
  <si>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</si>
  <si>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</si>
  <si>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</si>
  <si>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</si>
  <si>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</si>
  <si>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</si>
  <si>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</si>
  <si>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</si>
  <si>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</si>
  <si>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</si>
  <si>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</si>
  <si>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</si>
  <si>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</si>
  <si>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</si>
  <si>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</si>
  <si>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</si>
  <si>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</si>
  <si>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</si>
  <si>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</si>
  <si>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</si>
  <si>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Pumpestationer m. overbygning (&lt; 20 m2), SRO</t>
  </si>
  <si>
    <t>Stik</t>
  </si>
  <si>
    <t>Strømpeforing Ø 200 mm &lt; Ledningsnet ≤ Ø 500 mm</t>
  </si>
  <si>
    <t>Pumpeinstallation Miljøklasse B (100-300 l/s) - Mek/EL</t>
  </si>
  <si>
    <t>Pumpeinstallation Miljøklasse A (100-300 l/s) - Mek/EL</t>
  </si>
  <si>
    <t>Indløb med riste, Mek/EL</t>
  </si>
  <si>
    <t>GIS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</si>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</sst>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114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127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95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82</v>
      </c>
      <c r="C9" s="79"/>
      <c r="D9" s="79"/>
      <c r="E9" s="79"/>
      <c r="F9" s="80"/>
      <c r="G9" s="36">
        <v>647144</v>
      </c>
      <c r="H9" s="10" t="s">
        <v>4</v>
      </c>
      <c r="I9" s="1"/>
    </row>
    <row r="10" spans="1:9" x14ac:dyDescent="0.25">
      <c r="A10" s="1"/>
      <c r="B10" s="78" t="s">
        <v>83</v>
      </c>
      <c r="C10" s="79"/>
      <c r="D10" s="79"/>
      <c r="E10" s="79"/>
      <c r="F10" s="80"/>
      <c r="G10" s="36">
        <v>838000</v>
      </c>
      <c r="H10" s="10" t="s">
        <v>4</v>
      </c>
      <c r="I10" s="1"/>
    </row>
    <row r="11" spans="1:9" x14ac:dyDescent="0.25">
      <c r="A11" s="1"/>
      <c r="B11" s="68" t="s">
        <v>84</v>
      </c>
      <c r="C11" s="69"/>
      <c r="D11" s="69"/>
      <c r="E11" s="69"/>
      <c r="F11" s="70"/>
      <c r="G11" s="34">
        <f>G9-G10</f>
        <v>-190856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85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86</v>
      </c>
      <c r="C15" s="79"/>
      <c r="D15" s="79"/>
      <c r="E15" s="79"/>
      <c r="F15" s="80"/>
      <c r="G15" s="36">
        <v>803086</v>
      </c>
      <c r="H15" s="10" t="s">
        <v>4</v>
      </c>
      <c r="I15" s="1"/>
    </row>
    <row r="16" spans="1:9" x14ac:dyDescent="0.25">
      <c r="A16" s="1"/>
      <c r="B16" s="78" t="s">
        <v>87</v>
      </c>
      <c r="C16" s="79"/>
      <c r="D16" s="79"/>
      <c r="E16" s="79"/>
      <c r="F16" s="80"/>
      <c r="G16" s="36">
        <v>998000</v>
      </c>
      <c r="H16" s="10" t="s">
        <v>4</v>
      </c>
      <c r="I16" s="1"/>
    </row>
    <row r="17" spans="1:9" x14ac:dyDescent="0.25">
      <c r="A17" s="1"/>
      <c r="B17" s="68" t="s">
        <v>88</v>
      </c>
      <c r="C17" s="69"/>
      <c r="D17" s="69"/>
      <c r="E17" s="69"/>
      <c r="F17" s="70"/>
      <c r="G17" s="34">
        <f>G15-G16</f>
        <v>-194914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96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97</v>
      </c>
      <c r="C21" s="79"/>
      <c r="D21" s="79"/>
      <c r="E21" s="79"/>
      <c r="F21" s="80"/>
      <c r="G21" s="36">
        <v>61208</v>
      </c>
      <c r="H21" s="10" t="s">
        <v>4</v>
      </c>
      <c r="I21" s="1"/>
    </row>
    <row r="22" spans="1:9" x14ac:dyDescent="0.25">
      <c r="A22" s="1"/>
      <c r="B22" s="78" t="s">
        <v>99</v>
      </c>
      <c r="C22" s="79"/>
      <c r="D22" s="79"/>
      <c r="E22" s="79"/>
      <c r="F22" s="80"/>
      <c r="G22" s="36">
        <v>105000</v>
      </c>
      <c r="H22" s="10" t="s">
        <v>4</v>
      </c>
      <c r="I22" s="1"/>
    </row>
    <row r="23" spans="1:9" x14ac:dyDescent="0.25">
      <c r="A23" s="1"/>
      <c r="B23" s="68" t="s">
        <v>98</v>
      </c>
      <c r="C23" s="69"/>
      <c r="D23" s="69"/>
      <c r="E23" s="69"/>
      <c r="F23" s="70"/>
      <c r="G23" s="34">
        <f>G21-G22</f>
        <v>-43792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90" t="s">
        <v>89</v>
      </c>
      <c r="C26" s="91"/>
      <c r="D26" s="91"/>
      <c r="E26" s="91"/>
      <c r="F26" s="91"/>
      <c r="G26" s="91"/>
      <c r="H26" s="92"/>
      <c r="I26" s="1"/>
    </row>
    <row r="27" spans="1:9" ht="29.25" customHeight="1" x14ac:dyDescent="0.25">
      <c r="A27" s="1"/>
      <c r="B27" s="71" t="s">
        <v>100</v>
      </c>
      <c r="C27" s="72"/>
      <c r="D27" s="72"/>
      <c r="E27" s="72"/>
      <c r="F27" s="73"/>
      <c r="G27" s="36">
        <v>0</v>
      </c>
      <c r="H27" s="10" t="s">
        <v>4</v>
      </c>
      <c r="I27" s="1"/>
    </row>
    <row r="28" spans="1:9" x14ac:dyDescent="0.25">
      <c r="A28" s="1"/>
      <c r="B28" s="78" t="s">
        <v>101</v>
      </c>
      <c r="C28" s="79"/>
      <c r="D28" s="79"/>
      <c r="E28" s="79"/>
      <c r="F28" s="80"/>
      <c r="G28" s="36">
        <v>0</v>
      </c>
      <c r="H28" s="10" t="s">
        <v>4</v>
      </c>
      <c r="I28" s="1"/>
    </row>
    <row r="29" spans="1:9" ht="30" customHeight="1" x14ac:dyDescent="0.25">
      <c r="A29" s="1"/>
      <c r="B29" s="90" t="s">
        <v>102</v>
      </c>
      <c r="C29" s="91"/>
      <c r="D29" s="91"/>
      <c r="E29" s="91"/>
      <c r="F29" s="92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90" t="s">
        <v>90</v>
      </c>
      <c r="C32" s="91"/>
      <c r="D32" s="91"/>
      <c r="E32" s="91"/>
      <c r="F32" s="91"/>
      <c r="G32" s="91"/>
      <c r="H32" s="92"/>
      <c r="I32" s="1"/>
    </row>
    <row r="33" spans="1:9" x14ac:dyDescent="0.25">
      <c r="A33" s="1"/>
      <c r="B33" s="78" t="s">
        <v>91</v>
      </c>
      <c r="C33" s="79"/>
      <c r="D33" s="79"/>
      <c r="E33" s="79"/>
      <c r="F33" s="80"/>
      <c r="G33" s="36">
        <v>425232</v>
      </c>
      <c r="H33" s="10" t="s">
        <v>4</v>
      </c>
      <c r="I33" s="1"/>
    </row>
    <row r="34" spans="1:9" x14ac:dyDescent="0.25">
      <c r="A34" s="1"/>
      <c r="B34" s="78" t="s">
        <v>92</v>
      </c>
      <c r="C34" s="79"/>
      <c r="D34" s="79"/>
      <c r="E34" s="79"/>
      <c r="F34" s="80"/>
      <c r="G34" s="36">
        <v>428969</v>
      </c>
      <c r="H34" s="10" t="s">
        <v>4</v>
      </c>
      <c r="I34" s="1"/>
    </row>
    <row r="35" spans="1:9" x14ac:dyDescent="0.25">
      <c r="A35" s="1"/>
      <c r="B35" s="78" t="s">
        <v>93</v>
      </c>
      <c r="C35" s="79"/>
      <c r="D35" s="79"/>
      <c r="E35" s="79"/>
      <c r="F35" s="80"/>
      <c r="G35" s="20">
        <f>'Fane 6. Gen. inv. i 2015'!F18</f>
        <v>613181.57666666666</v>
      </c>
      <c r="H35" s="10" t="s">
        <v>4</v>
      </c>
      <c r="I35" s="1"/>
    </row>
    <row r="36" spans="1:9" x14ac:dyDescent="0.25">
      <c r="A36" s="1"/>
      <c r="B36" s="68" t="s">
        <v>90</v>
      </c>
      <c r="C36" s="69"/>
      <c r="D36" s="69"/>
      <c r="E36" s="69"/>
      <c r="F36" s="70"/>
      <c r="G36" s="34">
        <f>G35-G33+G35-G34</f>
        <v>372162.15333333332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68" t="s">
        <v>130</v>
      </c>
      <c r="C39" s="69"/>
      <c r="D39" s="69"/>
      <c r="E39" s="69"/>
      <c r="F39" s="69"/>
      <c r="G39" s="69"/>
      <c r="H39" s="70"/>
      <c r="I39" s="1"/>
    </row>
    <row r="40" spans="1:9" x14ac:dyDescent="0.25">
      <c r="A40" s="1"/>
      <c r="B40" s="78" t="s">
        <v>131</v>
      </c>
      <c r="C40" s="79"/>
      <c r="D40" s="79"/>
      <c r="E40" s="79"/>
      <c r="F40" s="80"/>
      <c r="G40" s="10"/>
      <c r="H40" s="10" t="s">
        <v>4</v>
      </c>
      <c r="I40" s="1"/>
    </row>
    <row r="41" spans="1:9" x14ac:dyDescent="0.25">
      <c r="A41" s="1"/>
      <c r="B41" s="78" t="s">
        <v>132</v>
      </c>
      <c r="C41" s="79"/>
      <c r="D41" s="79"/>
      <c r="E41" s="79"/>
      <c r="F41" s="80"/>
      <c r="G41" s="10"/>
      <c r="H41" s="10" t="s">
        <v>4</v>
      </c>
      <c r="I41" s="1"/>
    </row>
    <row r="42" spans="1:9" x14ac:dyDescent="0.25">
      <c r="A42" s="1"/>
      <c r="B42" s="68" t="s">
        <v>133</v>
      </c>
      <c r="C42" s="69"/>
      <c r="D42" s="69"/>
      <c r="E42" s="69"/>
      <c r="F42" s="70"/>
      <c r="G42" s="18">
        <f>G41-G40</f>
        <v>0</v>
      </c>
      <c r="H42" s="18" t="s">
        <v>4</v>
      </c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C6BD" sheet="1" objects="1" scenarios="1"/>
  <mergeCells count="26">
    <mergeCell ref="B34:F34"/>
    <mergeCell ref="B35:F35"/>
    <mergeCell ref="B36:F36"/>
    <mergeCell ref="B26:H26"/>
    <mergeCell ref="B29:F29"/>
    <mergeCell ref="B23:F23"/>
    <mergeCell ref="B32:H32"/>
    <mergeCell ref="B33:F33"/>
    <mergeCell ref="B27:F27"/>
    <mergeCell ref="B28:F28"/>
    <mergeCell ref="B39:H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50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82" t="s">
        <v>52</v>
      </c>
      <c r="C9" s="83"/>
      <c r="D9" s="83"/>
      <c r="E9" s="83"/>
      <c r="F9" s="84"/>
      <c r="G9" s="37">
        <v>26466905</v>
      </c>
      <c r="H9" s="16" t="s">
        <v>4</v>
      </c>
      <c r="I9" s="1"/>
    </row>
    <row r="10" spans="1:9" x14ac:dyDescent="0.25">
      <c r="A10" s="1"/>
      <c r="B10" s="68" t="s">
        <v>53</v>
      </c>
      <c r="C10" s="69"/>
      <c r="D10" s="69"/>
      <c r="E10" s="69"/>
      <c r="F10" s="69"/>
      <c r="G10" s="69"/>
      <c r="H10" s="70"/>
      <c r="I10" s="1"/>
    </row>
    <row r="11" spans="1:9" x14ac:dyDescent="0.25">
      <c r="A11" s="1"/>
      <c r="B11" s="78" t="s">
        <v>54</v>
      </c>
      <c r="C11" s="79"/>
      <c r="D11" s="80"/>
      <c r="E11" s="36">
        <v>10394314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55</v>
      </c>
      <c r="C12" s="79"/>
      <c r="D12" s="80"/>
      <c r="E12" s="36">
        <v>1319182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56</v>
      </c>
      <c r="C13" s="79"/>
      <c r="D13" s="80"/>
      <c r="E13" s="36">
        <v>307657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57</v>
      </c>
      <c r="C14" s="79"/>
      <c r="D14" s="80"/>
      <c r="E14" s="36">
        <v>759399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58</v>
      </c>
      <c r="C15" s="83"/>
      <c r="D15" s="84"/>
      <c r="E15" s="33">
        <f>SUM(E11:E14)</f>
        <v>12780552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59</v>
      </c>
      <c r="C16" s="79"/>
      <c r="D16" s="80"/>
      <c r="E16" s="36">
        <v>57770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60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61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62</v>
      </c>
      <c r="C19" s="83"/>
      <c r="D19" s="84"/>
      <c r="E19" s="33">
        <f>SUM(E16:E18)</f>
        <v>57770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63</v>
      </c>
      <c r="C20" s="72"/>
      <c r="D20" s="73"/>
      <c r="E20" s="36">
        <v>-940221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64</v>
      </c>
      <c r="C21" s="72"/>
      <c r="D21" s="73"/>
      <c r="E21" s="36">
        <v>-6159750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65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66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67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68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69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70</v>
      </c>
      <c r="C27" s="83"/>
      <c r="D27" s="84"/>
      <c r="E27" s="33">
        <f>SUM(E20:E26)</f>
        <v>-7099971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71</v>
      </c>
      <c r="C28" s="83"/>
      <c r="D28" s="84"/>
      <c r="E28" s="33">
        <f>E15+E19+E27</f>
        <v>5738351</v>
      </c>
      <c r="F28" s="16" t="s">
        <v>4</v>
      </c>
      <c r="G28" s="31">
        <f>IF(E28&lt;0,0,-E28)</f>
        <v>-5738351</v>
      </c>
      <c r="H28" s="16" t="s">
        <v>4</v>
      </c>
      <c r="I28" s="1"/>
    </row>
    <row r="29" spans="1:9" x14ac:dyDescent="0.25">
      <c r="A29" s="1"/>
      <c r="B29" s="68" t="s">
        <v>72</v>
      </c>
      <c r="C29" s="69"/>
      <c r="D29" s="69"/>
      <c r="E29" s="69"/>
      <c r="F29" s="69"/>
      <c r="G29" s="69"/>
      <c r="H29" s="70"/>
      <c r="I29" s="1"/>
    </row>
    <row r="30" spans="1:9" x14ac:dyDescent="0.25">
      <c r="A30" s="1"/>
      <c r="B30" s="82" t="s">
        <v>72</v>
      </c>
      <c r="C30" s="83"/>
      <c r="D30" s="84"/>
      <c r="E30" s="37">
        <v>1262606</v>
      </c>
      <c r="F30" s="16" t="s">
        <v>4</v>
      </c>
      <c r="G30" s="33">
        <f>-$E$30</f>
        <v>-1262606</v>
      </c>
      <c r="H30" s="16" t="s">
        <v>4</v>
      </c>
      <c r="I30" s="1"/>
    </row>
    <row r="31" spans="1:9" x14ac:dyDescent="0.25">
      <c r="A31" s="1"/>
      <c r="B31" s="93" t="s">
        <v>122</v>
      </c>
      <c r="C31" s="69"/>
      <c r="D31" s="69"/>
      <c r="E31" s="69"/>
      <c r="F31" s="69"/>
      <c r="G31" s="69"/>
      <c r="H31" s="70"/>
      <c r="I31" s="1"/>
    </row>
    <row r="32" spans="1:9" ht="30" customHeight="1" x14ac:dyDescent="0.25">
      <c r="A32" s="1"/>
      <c r="B32" s="71" t="s">
        <v>123</v>
      </c>
      <c r="C32" s="72"/>
      <c r="D32" s="73"/>
      <c r="E32" s="36">
        <v>18948108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73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74</v>
      </c>
      <c r="C34" s="72"/>
      <c r="D34" s="73"/>
      <c r="E34" s="36">
        <v>517840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75</v>
      </c>
      <c r="C35" s="83"/>
      <c r="D35" s="84"/>
      <c r="E35" s="33">
        <f>SUM(E32:E34)</f>
        <v>19465948</v>
      </c>
      <c r="F35" s="16" t="s">
        <v>4</v>
      </c>
      <c r="G35" s="33">
        <f>-E35</f>
        <v>-19465948</v>
      </c>
      <c r="H35" s="16" t="s">
        <v>4</v>
      </c>
      <c r="I35" s="1"/>
    </row>
    <row r="36" spans="1:9" x14ac:dyDescent="0.25">
      <c r="A36" s="1"/>
      <c r="B36" s="68" t="s">
        <v>51</v>
      </c>
      <c r="C36" s="69"/>
      <c r="D36" s="69"/>
      <c r="E36" s="69"/>
      <c r="F36" s="70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23355960.705043979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20">
        <f>'Fane 3. Grundlag'!G11</f>
        <v>617656.36274237989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386551.17381912714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44</v>
      </c>
      <c r="C12" s="83"/>
      <c r="D12" s="84"/>
      <c r="E12" s="33">
        <f>$E$9-$E$11</f>
        <v>22969409.531224851</v>
      </c>
      <c r="F12" s="17" t="s">
        <v>4</v>
      </c>
      <c r="G12" s="33">
        <f>E12</f>
        <v>22969409.531224851</v>
      </c>
      <c r="H12" s="17" t="s">
        <v>4</v>
      </c>
      <c r="I12" s="1"/>
    </row>
    <row r="13" spans="1:9" x14ac:dyDescent="0.25">
      <c r="A13" s="1"/>
      <c r="B13" s="68" t="s">
        <v>32</v>
      </c>
      <c r="C13" s="69"/>
      <c r="D13" s="69"/>
      <c r="E13" s="69"/>
      <c r="F13" s="69"/>
      <c r="G13" s="69"/>
      <c r="H13" s="70"/>
      <c r="I13" s="1"/>
    </row>
    <row r="14" spans="1:9" x14ac:dyDescent="0.25">
      <c r="A14" s="1"/>
      <c r="B14" s="74" t="s">
        <v>111</v>
      </c>
      <c r="C14" s="75"/>
      <c r="D14" s="76"/>
      <c r="E14" s="33">
        <f>'Fane 5. Hist. over el. underdæk'!G13</f>
        <v>338176.75</v>
      </c>
      <c r="F14" s="17" t="s">
        <v>4</v>
      </c>
      <c r="G14" s="33">
        <f>E14</f>
        <v>338176.75</v>
      </c>
      <c r="H14" s="17" t="s">
        <v>4</v>
      </c>
      <c r="I14" s="1"/>
    </row>
    <row r="15" spans="1:9" x14ac:dyDescent="0.25">
      <c r="A15" s="1"/>
      <c r="B15" s="68" t="s">
        <v>29</v>
      </c>
      <c r="C15" s="69"/>
      <c r="D15" s="69"/>
      <c r="E15" s="69"/>
      <c r="F15" s="69"/>
      <c r="G15" s="69"/>
      <c r="H15" s="70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-190856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-194914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104</v>
      </c>
      <c r="C18" s="72"/>
      <c r="D18" s="73"/>
      <c r="E18" s="20">
        <f>'Fane 7. Korrektion af PL2015'!G23</f>
        <v>-43792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71" t="s">
        <v>37</v>
      </c>
      <c r="C19" s="72"/>
      <c r="D19" s="73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71" t="s">
        <v>38</v>
      </c>
      <c r="C20" s="72"/>
      <c r="D20" s="73"/>
      <c r="E20" s="20">
        <f>'Fane 7. Korrektion af PL2015'!G36</f>
        <v>372162.15333333332</v>
      </c>
      <c r="F20" s="7" t="s">
        <v>4</v>
      </c>
      <c r="G20" s="13"/>
      <c r="H20" s="12"/>
      <c r="I20" s="1"/>
    </row>
    <row r="21" spans="1:9" ht="28.5" customHeight="1" x14ac:dyDescent="0.25">
      <c r="A21" s="1"/>
      <c r="B21" s="71" t="s">
        <v>130</v>
      </c>
      <c r="C21" s="72"/>
      <c r="D21" s="73"/>
      <c r="E21" s="20">
        <f>'Fane 7. Korrektion af PL2015'!G42</f>
        <v>0</v>
      </c>
      <c r="F21" s="7" t="s">
        <v>4</v>
      </c>
      <c r="G21" s="14"/>
      <c r="H21" s="15"/>
      <c r="I21" s="1"/>
    </row>
    <row r="22" spans="1:9" x14ac:dyDescent="0.25">
      <c r="A22" s="1"/>
      <c r="B22" s="74" t="s">
        <v>39</v>
      </c>
      <c r="C22" s="75"/>
      <c r="D22" s="76"/>
      <c r="E22" s="33">
        <f>SUM(E16:E21)</f>
        <v>-57399.846666666679</v>
      </c>
      <c r="F22" s="17" t="s">
        <v>4</v>
      </c>
      <c r="G22" s="33">
        <f>E22</f>
        <v>-57399.846666666679</v>
      </c>
      <c r="H22" s="17" t="s">
        <v>4</v>
      </c>
      <c r="I22" s="1"/>
    </row>
    <row r="23" spans="1:9" x14ac:dyDescent="0.25">
      <c r="A23" s="1"/>
      <c r="B23" s="68" t="s">
        <v>33</v>
      </c>
      <c r="C23" s="69"/>
      <c r="D23" s="69"/>
      <c r="E23" s="69"/>
      <c r="F23" s="69"/>
      <c r="G23" s="69"/>
      <c r="H23" s="70"/>
      <c r="I23" s="1"/>
    </row>
    <row r="24" spans="1:9" x14ac:dyDescent="0.25">
      <c r="A24" s="1"/>
      <c r="B24" s="74" t="s">
        <v>34</v>
      </c>
      <c r="C24" s="75"/>
      <c r="D24" s="76"/>
      <c r="E24" s="33">
        <f>'Fane 8. Kontrol af PL2015'!G36</f>
        <v>0</v>
      </c>
      <c r="F24" s="17" t="s">
        <v>4</v>
      </c>
      <c r="G24" s="33">
        <f>E24</f>
        <v>0</v>
      </c>
      <c r="H24" s="17" t="s">
        <v>4</v>
      </c>
      <c r="I24" s="1"/>
    </row>
    <row r="25" spans="1:9" x14ac:dyDescent="0.25">
      <c r="A25" s="1"/>
      <c r="B25" s="68" t="s">
        <v>40</v>
      </c>
      <c r="C25" s="69"/>
      <c r="D25" s="69"/>
      <c r="E25" s="69"/>
      <c r="F25" s="70"/>
      <c r="G25" s="34">
        <f>G12+G14+G22+G24</f>
        <v>23250186.434558183</v>
      </c>
      <c r="H25" s="18" t="s">
        <v>4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</sheetData>
  <sheetProtection password="C6BD" sheet="1" objects="1" scenarios="1"/>
  <mergeCells count="19"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0:D20"/>
    <mergeCell ref="B23:H23"/>
    <mergeCell ref="B15:H15"/>
    <mergeCell ref="B13:H13"/>
    <mergeCell ref="B8:H8"/>
    <mergeCell ref="B16:D16"/>
    <mergeCell ref="B21:D21"/>
    <mergeCell ref="B22:D22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41</v>
      </c>
      <c r="C9" s="72"/>
      <c r="D9" s="73"/>
      <c r="E9" s="35">
        <f>'Fane 2.1. Økonomisk ramme 2017'!$E$9-'Fane 2.1. Økonomisk ramme 2017'!$E$11</f>
        <v>22969409.531224851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2.1. Økonomisk ramme 2017'!$E$10</f>
        <v>617656.36274237989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291711.50104655558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384805.54737327737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22876315.484898131</v>
      </c>
      <c r="F13" s="17" t="s">
        <v>4</v>
      </c>
      <c r="G13" s="33">
        <f>E13</f>
        <v>22876315.484898131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underdæk'!$G$12&gt;1,'Fane 5. Hist. over el. underdæk'!$G$13,0)</f>
        <v>338176.75</v>
      </c>
      <c r="F15" s="17" t="s">
        <v>4</v>
      </c>
      <c r="G15" s="33">
        <f>E15</f>
        <v>338176.75</v>
      </c>
      <c r="H15" s="17" t="s">
        <v>4</v>
      </c>
      <c r="I15" s="1"/>
    </row>
    <row r="16" spans="1:9" x14ac:dyDescent="0.25">
      <c r="A16" s="1"/>
      <c r="B16" s="68" t="s">
        <v>43</v>
      </c>
      <c r="C16" s="69"/>
      <c r="D16" s="69"/>
      <c r="E16" s="69"/>
      <c r="F16" s="70"/>
      <c r="G16" s="34">
        <f>G13+G15</f>
        <v>23214492.234898131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45</v>
      </c>
      <c r="C9" s="72"/>
      <c r="D9" s="73"/>
      <c r="E9" s="35">
        <f>'Fane 2.2. Økonomisk ramme 2018'!$E$9*1.0127-'Fane 2.2. Økonomisk ramme 2018'!$E$12</f>
        <v>22876315.484898128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2.2. Økonomisk ramme 2018'!$E$10*1.0127</f>
        <v>625500.59854920802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290529.20665820618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383067.80400189437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22783776.887554441</v>
      </c>
      <c r="F13" s="17" t="s">
        <v>4</v>
      </c>
      <c r="G13" s="33">
        <f>E13</f>
        <v>22783776.887554441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underdæk'!$G$12&gt;2,'Fane 5. Hist. over el. underdæk'!$G$13,0)</f>
        <v>338176.75</v>
      </c>
      <c r="F15" s="17" t="s">
        <v>4</v>
      </c>
      <c r="G15" s="33">
        <f>E15</f>
        <v>338176.75</v>
      </c>
      <c r="H15" s="17" t="s">
        <v>4</v>
      </c>
      <c r="I15" s="1"/>
    </row>
    <row r="16" spans="1:9" x14ac:dyDescent="0.25">
      <c r="A16" s="1"/>
      <c r="B16" s="68" t="s">
        <v>46</v>
      </c>
      <c r="C16" s="69"/>
      <c r="D16" s="69"/>
      <c r="E16" s="69"/>
      <c r="F16" s="70"/>
      <c r="G16" s="34">
        <f>G13+G15</f>
        <v>23121953.637554441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47</v>
      </c>
      <c r="C9" s="72"/>
      <c r="D9" s="73"/>
      <c r="E9" s="35">
        <f>'Fane 2.3. Økonomisk ramme 2019'!$E$9*1.0127-'Fane 2.3. Økonomisk ramme 2019'!$E$12</f>
        <v>22783776.887554437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2.3. Økonomisk ramme 2019'!$E$10*1.0127</f>
        <v>633444.45615078288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289353.96647194133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381337.9081058022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22691792.945920575</v>
      </c>
      <c r="F13" s="17" t="s">
        <v>4</v>
      </c>
      <c r="G13" s="33">
        <f>E13</f>
        <v>22691792.945920575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underdæk'!$G$12&gt;3,'Fane 5. Hist. over el. underdæk'!$G$13,0)</f>
        <v>338176.75</v>
      </c>
      <c r="F15" s="17" t="s">
        <v>4</v>
      </c>
      <c r="G15" s="33">
        <f>E15</f>
        <v>338176.75</v>
      </c>
      <c r="H15" s="17" t="s">
        <v>4</v>
      </c>
      <c r="I15" s="1"/>
    </row>
    <row r="16" spans="1:9" x14ac:dyDescent="0.25">
      <c r="A16" s="1"/>
      <c r="B16" s="68" t="s">
        <v>48</v>
      </c>
      <c r="C16" s="69"/>
      <c r="D16" s="69"/>
      <c r="E16" s="69"/>
      <c r="F16" s="70"/>
      <c r="G16" s="34">
        <f>G13+G15</f>
        <v>23029969.695920575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105</v>
      </c>
      <c r="C9" s="79"/>
      <c r="D9" s="79"/>
      <c r="E9" s="79"/>
      <c r="F9" s="80"/>
      <c r="G9" s="36">
        <v>8436533.2914985437</v>
      </c>
      <c r="H9" s="10" t="s">
        <v>4</v>
      </c>
      <c r="I9" s="1"/>
    </row>
    <row r="10" spans="1:9" x14ac:dyDescent="0.25">
      <c r="A10" s="1"/>
      <c r="B10" s="78" t="s">
        <v>106</v>
      </c>
      <c r="C10" s="79"/>
      <c r="D10" s="79"/>
      <c r="E10" s="79"/>
      <c r="F10" s="80"/>
      <c r="G10" s="36">
        <v>14301771.050803058</v>
      </c>
      <c r="H10" s="10" t="s">
        <v>4</v>
      </c>
      <c r="I10" s="1"/>
    </row>
    <row r="11" spans="1:9" x14ac:dyDescent="0.25">
      <c r="A11" s="1"/>
      <c r="B11" s="78" t="s">
        <v>107</v>
      </c>
      <c r="C11" s="79"/>
      <c r="D11" s="79"/>
      <c r="E11" s="79"/>
      <c r="F11" s="80"/>
      <c r="G11" s="36">
        <v>617656.36274237989</v>
      </c>
      <c r="H11" s="10" t="s">
        <v>4</v>
      </c>
      <c r="I11" s="1"/>
    </row>
    <row r="12" spans="1:9" x14ac:dyDescent="0.25">
      <c r="A12" s="1"/>
      <c r="B12" s="68" t="s">
        <v>49</v>
      </c>
      <c r="C12" s="69"/>
      <c r="D12" s="69"/>
      <c r="E12" s="69"/>
      <c r="F12" s="70"/>
      <c r="G12" s="34">
        <f>SUM(G9:G11)</f>
        <v>23355960.705043979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124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113</v>
      </c>
      <c r="C9" s="79"/>
      <c r="D9" s="79"/>
      <c r="E9" s="79"/>
      <c r="F9" s="80"/>
      <c r="G9" s="20">
        <f>'Fane 3. Grundlag'!G12-'Fane 3. Grundlag'!G11</f>
        <v>22738304.3423016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76</v>
      </c>
      <c r="I10" s="1"/>
    </row>
    <row r="11" spans="1:9" x14ac:dyDescent="0.25">
      <c r="A11" s="1"/>
      <c r="B11" s="68" t="s">
        <v>28</v>
      </c>
      <c r="C11" s="69"/>
      <c r="D11" s="69"/>
      <c r="E11" s="69"/>
      <c r="F11" s="70"/>
      <c r="G11" s="34">
        <f>$G$9*$G$10/100</f>
        <v>386551.17381912714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110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78</v>
      </c>
      <c r="C9" s="79"/>
      <c r="D9" s="79"/>
      <c r="E9" s="79"/>
      <c r="F9" s="80"/>
      <c r="G9" s="36">
        <v>3287973</v>
      </c>
      <c r="H9" s="10" t="s">
        <v>4</v>
      </c>
      <c r="I9" s="1"/>
    </row>
    <row r="10" spans="1:9" x14ac:dyDescent="0.25">
      <c r="A10" s="1"/>
      <c r="B10" s="78" t="s">
        <v>79</v>
      </c>
      <c r="C10" s="79"/>
      <c r="D10" s="79"/>
      <c r="E10" s="79"/>
      <c r="F10" s="80"/>
      <c r="G10" s="36">
        <v>1935266</v>
      </c>
      <c r="H10" s="10" t="s">
        <v>4</v>
      </c>
      <c r="I10" s="1"/>
    </row>
    <row r="11" spans="1:9" x14ac:dyDescent="0.25">
      <c r="A11" s="1"/>
      <c r="B11" s="85" t="s">
        <v>94</v>
      </c>
      <c r="C11" s="86"/>
      <c r="D11" s="86"/>
      <c r="E11" s="86"/>
      <c r="F11" s="87"/>
      <c r="G11" s="38">
        <v>1352707</v>
      </c>
      <c r="H11" s="23" t="s">
        <v>4</v>
      </c>
      <c r="I11" s="1"/>
    </row>
    <row r="12" spans="1:9" x14ac:dyDescent="0.25">
      <c r="A12" s="1"/>
      <c r="B12" s="78" t="s">
        <v>80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68" t="s">
        <v>77</v>
      </c>
      <c r="C13" s="69"/>
      <c r="D13" s="69"/>
      <c r="E13" s="69"/>
      <c r="F13" s="70"/>
      <c r="G13" s="34">
        <f>G11/G12</f>
        <v>338176.75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RowHeight="15" x14ac:dyDescent="0.25"/>
  <cols>
    <col min="1" max="1" width="5.140625" customWidth="1"/>
    <col min="2" max="2" width="37.71093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126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8" t="s">
        <v>6</v>
      </c>
      <c r="C8" s="69"/>
      <c r="D8" s="69"/>
      <c r="E8" s="69"/>
      <c r="F8" s="69"/>
      <c r="G8" s="70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8" t="s">
        <v>3</v>
      </c>
      <c r="G9" s="88"/>
      <c r="H9" s="1"/>
    </row>
    <row r="10" spans="1:8" x14ac:dyDescent="0.25">
      <c r="A10" s="1"/>
      <c r="B10" s="41" t="s">
        <v>115</v>
      </c>
      <c r="C10" s="39">
        <v>2015</v>
      </c>
      <c r="D10" s="39">
        <v>10</v>
      </c>
      <c r="E10" s="36">
        <v>3880326</v>
      </c>
      <c r="F10" s="20">
        <f>E10/D10</f>
        <v>388032.6</v>
      </c>
      <c r="G10" s="10" t="s">
        <v>4</v>
      </c>
      <c r="H10" s="1"/>
    </row>
    <row r="11" spans="1:8" x14ac:dyDescent="0.25">
      <c r="A11" s="1"/>
      <c r="B11" s="41" t="s">
        <v>116</v>
      </c>
      <c r="C11" s="39">
        <v>2015</v>
      </c>
      <c r="D11" s="39">
        <v>75</v>
      </c>
      <c r="E11" s="36">
        <v>142922</v>
      </c>
      <c r="F11" s="20">
        <f t="shared" ref="F11:F17" si="0">E11/D11</f>
        <v>1905.6266666666668</v>
      </c>
      <c r="G11" s="10" t="s">
        <v>4</v>
      </c>
      <c r="H11" s="1"/>
    </row>
    <row r="12" spans="1:8" x14ac:dyDescent="0.25">
      <c r="A12" s="1"/>
      <c r="B12" s="41" t="s">
        <v>117</v>
      </c>
      <c r="C12" s="39">
        <v>2015</v>
      </c>
      <c r="D12" s="39">
        <v>50</v>
      </c>
      <c r="E12" s="36">
        <v>974532</v>
      </c>
      <c r="F12" s="20">
        <f t="shared" si="0"/>
        <v>19490.64</v>
      </c>
      <c r="G12" s="10" t="s">
        <v>4</v>
      </c>
      <c r="H12" s="1"/>
    </row>
    <row r="13" spans="1:8" x14ac:dyDescent="0.25">
      <c r="A13" s="1"/>
      <c r="B13" s="41" t="s">
        <v>117</v>
      </c>
      <c r="C13" s="39">
        <v>2015</v>
      </c>
      <c r="D13" s="39">
        <v>50</v>
      </c>
      <c r="E13" s="36">
        <v>6123523</v>
      </c>
      <c r="F13" s="20">
        <f t="shared" si="0"/>
        <v>122470.46</v>
      </c>
      <c r="G13" s="10" t="s">
        <v>4</v>
      </c>
      <c r="H13" s="1"/>
    </row>
    <row r="14" spans="1:8" ht="26.25" x14ac:dyDescent="0.25">
      <c r="A14" s="1"/>
      <c r="B14" s="42" t="s">
        <v>118</v>
      </c>
      <c r="C14" s="39">
        <v>2015</v>
      </c>
      <c r="D14" s="39">
        <v>20</v>
      </c>
      <c r="E14" s="36">
        <v>75268</v>
      </c>
      <c r="F14" s="20">
        <f t="shared" si="0"/>
        <v>3763.4</v>
      </c>
      <c r="G14" s="10" t="s">
        <v>4</v>
      </c>
      <c r="H14" s="1"/>
    </row>
    <row r="15" spans="1:8" ht="26.25" x14ac:dyDescent="0.25">
      <c r="A15" s="1"/>
      <c r="B15" s="42" t="s">
        <v>119</v>
      </c>
      <c r="C15" s="39">
        <v>2015</v>
      </c>
      <c r="D15" s="39">
        <v>20</v>
      </c>
      <c r="E15" s="36">
        <v>452429</v>
      </c>
      <c r="F15" s="20">
        <f t="shared" si="0"/>
        <v>22621.45</v>
      </c>
      <c r="G15" s="10" t="s">
        <v>4</v>
      </c>
      <c r="H15" s="1"/>
    </row>
    <row r="16" spans="1:8" x14ac:dyDescent="0.25">
      <c r="A16" s="1"/>
      <c r="B16" s="41" t="s">
        <v>120</v>
      </c>
      <c r="C16" s="39">
        <v>2015</v>
      </c>
      <c r="D16" s="39">
        <v>20</v>
      </c>
      <c r="E16" s="36">
        <v>52992</v>
      </c>
      <c r="F16" s="20">
        <f t="shared" si="0"/>
        <v>2649.6</v>
      </c>
      <c r="G16" s="10" t="s">
        <v>4</v>
      </c>
      <c r="H16" s="1"/>
    </row>
    <row r="17" spans="1:8" x14ac:dyDescent="0.25">
      <c r="A17" s="1"/>
      <c r="B17" s="41" t="s">
        <v>121</v>
      </c>
      <c r="C17" s="39">
        <v>2015</v>
      </c>
      <c r="D17" s="39">
        <v>5</v>
      </c>
      <c r="E17" s="36">
        <v>261239</v>
      </c>
      <c r="F17" s="20">
        <f t="shared" si="0"/>
        <v>52247.8</v>
      </c>
      <c r="G17" s="10" t="s">
        <v>4</v>
      </c>
      <c r="H17" s="1"/>
    </row>
    <row r="18" spans="1:8" x14ac:dyDescent="0.25">
      <c r="A18" s="1"/>
      <c r="B18" s="68" t="s">
        <v>5</v>
      </c>
      <c r="C18" s="69"/>
      <c r="D18" s="69"/>
      <c r="E18" s="70"/>
      <c r="F18" s="34">
        <f>SUM(F10:F17)</f>
        <v>613181.57666666666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2016-11-15T09:40:26Z</dcterms:modified>
</cp:coreProperties>
</file>