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Periodevise driftsomkostninger" sheetId="28" r:id="rId5"/>
    <sheet name="Investeringer" sheetId="20" r:id="rId6"/>
    <sheet name="Finansielle omkostninger" sheetId="24" r:id="rId7"/>
    <sheet name="Ikke-påvirkelige omkostninger" sheetId="18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B5" i="12" l="1"/>
  <c r="C8" i="27" l="1"/>
  <c r="C9" i="27"/>
  <c r="E2" i="15" l="1"/>
  <c r="G4" i="16" l="1"/>
  <c r="E3" i="16"/>
  <c r="F3" i="16"/>
  <c r="G3" i="16"/>
  <c r="F3" i="17" l="1"/>
  <c r="G3" i="17"/>
  <c r="E4" i="16" l="1"/>
  <c r="F4" i="16"/>
  <c r="G3" i="24"/>
  <c r="K3" i="24" s="1"/>
  <c r="H3" i="24"/>
  <c r="I3" i="24"/>
  <c r="F3" i="24"/>
  <c r="B12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6" i="16"/>
  <c r="G5" i="16"/>
  <c r="J3" i="16" s="1"/>
  <c r="G5" i="17"/>
  <c r="F4" i="17"/>
  <c r="E5" i="17"/>
  <c r="G4" i="17"/>
  <c r="E4" i="17"/>
  <c r="F5" i="17"/>
  <c r="E6" i="16"/>
  <c r="J3" i="24"/>
  <c r="F5" i="16"/>
  <c r="I3" i="16" s="1"/>
  <c r="F6" i="16"/>
  <c r="E5" i="16"/>
  <c r="H3" i="16" s="1"/>
  <c r="M3" i="24" l="1"/>
  <c r="B10" i="12" s="1"/>
  <c r="B11" i="12" s="1"/>
  <c r="H3" i="17"/>
  <c r="B4" i="12" s="1"/>
  <c r="I2" i="15"/>
  <c r="K2" i="15" s="1"/>
  <c r="B2" i="12" s="1"/>
  <c r="K3" i="16" l="1"/>
  <c r="B3" i="12" s="1"/>
  <c r="B6" i="12" s="1"/>
  <c r="B15" i="12" l="1"/>
  <c r="B17" i="12" s="1"/>
</calcChain>
</file>

<file path=xl/sharedStrings.xml><?xml version="1.0" encoding="utf-8"?>
<sst xmlns="http://schemas.openxmlformats.org/spreadsheetml/2006/main" count="118" uniqueCount="78">
  <si>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</si>
  <si>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</si>
  <si>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</si>
  <si>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</si>
  <si>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</si>
  <si>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</si>
  <si>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</si>
  <si>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</si>
  <si>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</si>
  <si>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</si>
  <si>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</si>
  <si>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</si>
  <si>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</si>
  <si>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</si>
  <si>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</si>
  <si>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</si>
  <si>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</si>
  <si>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</si>
  <si>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</si>
  <si>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</si>
  <si>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</si>
  <si>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</si>
  <si>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Vand- og Energiværksted</t>
  </si>
  <si>
    <t xml:space="preserve">Dokumenteret spildevandssikkerhed (DSS) </t>
  </si>
  <si>
    <t>Klima tiltag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</si>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</sst>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2" applyFill="0" applyAlignment="0" applyProtection="0"/>
    <xf numFmtId="168" fontId="24" fillId="0" borderId="22" applyFill="0" applyAlignment="0" applyProtection="0"/>
    <xf numFmtId="169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20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165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28" xfId="0" applyFont="1" applyBorder="1" applyAlignment="1">
      <alignment wrapText="1"/>
    </xf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6" fontId="3" fillId="0" borderId="25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4" xfId="27368" applyNumberFormat="1" applyFont="1" applyBorder="1"/>
    <xf numFmtId="166" fontId="0" fillId="0" borderId="29" xfId="27368" applyNumberFormat="1" applyFont="1" applyFill="1" applyBorder="1"/>
    <xf numFmtId="166" fontId="0" fillId="0" borderId="0" xfId="27368" applyNumberFormat="1" applyFont="1" applyFill="1" applyBorder="1"/>
    <xf numFmtId="166" fontId="0" fillId="0" borderId="24" xfId="27368" applyNumberFormat="1" applyFont="1" applyFill="1" applyBorder="1"/>
    <xf numFmtId="166" fontId="3" fillId="0" borderId="0" xfId="27368" applyNumberFormat="1" applyFont="1" applyFill="1" applyBorder="1"/>
    <xf numFmtId="166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6" fontId="3" fillId="0" borderId="3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3" fillId="0" borderId="29" xfId="0" applyFont="1" applyBorder="1" applyAlignment="1">
      <alignment wrapText="1"/>
    </xf>
    <xf numFmtId="166" fontId="3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6" fontId="3" fillId="0" borderId="29" xfId="0" applyNumberFormat="1" applyFont="1" applyBorder="1" applyAlignment="1">
      <alignment wrapText="1"/>
    </xf>
    <xf numFmtId="0" fontId="0" fillId="0" borderId="26" xfId="0" applyFont="1" applyBorder="1" applyAlignment="1">
      <alignment wrapText="1"/>
    </xf>
    <xf numFmtId="166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3" xfId="0" applyFont="1" applyBorder="1"/>
    <xf numFmtId="0" fontId="3" fillId="0" borderId="27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6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6" fontId="0" fillId="0" borderId="0" xfId="27368" applyNumberFormat="1" applyFont="1" applyBorder="1" applyAlignment="1">
      <alignment wrapText="1"/>
    </xf>
    <xf numFmtId="166" fontId="3" fillId="0" borderId="27" xfId="0" applyNumberFormat="1" applyFont="1" applyFill="1" applyBorder="1" applyAlignment="1">
      <alignment horizontal="left"/>
    </xf>
    <xf numFmtId="166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7" customFormat="1" ht="15.75" thickBot="1" x14ac:dyDescent="0.3">
      <c r="A1" s="21" t="s">
        <v>6</v>
      </c>
      <c r="B1" s="21" t="s">
        <v>7</v>
      </c>
    </row>
    <row r="2" spans="1:3" x14ac:dyDescent="0.25">
      <c r="A2" s="5" t="s">
        <v>5</v>
      </c>
      <c r="B2" s="38">
        <f>'Faktiske driftsomkostninger'!K2</f>
        <v>7890524.4927945128</v>
      </c>
      <c r="C2" t="s">
        <v>11</v>
      </c>
    </row>
    <row r="3" spans="1:3" s="2" customFormat="1" x14ac:dyDescent="0.25">
      <c r="A3" s="6" t="s">
        <v>8</v>
      </c>
      <c r="B3" s="39">
        <f>'Miljø- og servicemål'!K3</f>
        <v>376097.38630800002</v>
      </c>
      <c r="C3" t="s">
        <v>11</v>
      </c>
    </row>
    <row r="4" spans="1:3" s="2" customFormat="1" x14ac:dyDescent="0.25">
      <c r="A4" s="6" t="s">
        <v>9</v>
      </c>
      <c r="B4" s="39">
        <f>'Revisorerklæringer mm.'!H3</f>
        <v>38699.929102666661</v>
      </c>
      <c r="C4" t="s">
        <v>11</v>
      </c>
    </row>
    <row r="5" spans="1:3" s="29" customFormat="1" x14ac:dyDescent="0.25">
      <c r="A5" s="5" t="s">
        <v>53</v>
      </c>
      <c r="B5" s="38">
        <f>'Periodevise driftsomkostninger'!B2</f>
        <v>57188.714399999997</v>
      </c>
      <c r="C5" s="3" t="s">
        <v>11</v>
      </c>
    </row>
    <row r="6" spans="1:3" s="29" customFormat="1" x14ac:dyDescent="0.25">
      <c r="A6" s="4" t="s">
        <v>12</v>
      </c>
      <c r="B6" s="51">
        <f>SUM(B2:B5)</f>
        <v>8362510.5226051798</v>
      </c>
      <c r="C6" s="65" t="s">
        <v>11</v>
      </c>
    </row>
    <row r="7" spans="1:3" x14ac:dyDescent="0.25">
      <c r="A7" s="50" t="s">
        <v>0</v>
      </c>
      <c r="B7" s="41">
        <f>Investeringer!E3</f>
        <v>11218268.166097127</v>
      </c>
      <c r="C7" s="26" t="s">
        <v>11</v>
      </c>
    </row>
    <row r="8" spans="1:3" x14ac:dyDescent="0.25">
      <c r="A8" s="5" t="s">
        <v>1</v>
      </c>
      <c r="B8" s="38">
        <f>Investeringer!F3</f>
        <v>2069065.1731820863</v>
      </c>
      <c r="C8" t="s">
        <v>11</v>
      </c>
    </row>
    <row r="9" spans="1:3" x14ac:dyDescent="0.25">
      <c r="A9" s="5" t="s">
        <v>2</v>
      </c>
      <c r="B9" s="38">
        <f>Investeringer!G3</f>
        <v>80250</v>
      </c>
      <c r="C9" t="s">
        <v>11</v>
      </c>
    </row>
    <row r="10" spans="1:3" s="25" customFormat="1" x14ac:dyDescent="0.25">
      <c r="A10" s="5" t="s">
        <v>4</v>
      </c>
      <c r="B10" s="38">
        <f>'Finansielle omkostninger'!M3</f>
        <v>808702.91146666661</v>
      </c>
      <c r="C10" t="s">
        <v>11</v>
      </c>
    </row>
    <row r="11" spans="1:3" s="25" customFormat="1" x14ac:dyDescent="0.25">
      <c r="A11" s="4" t="s">
        <v>49</v>
      </c>
      <c r="B11" s="51">
        <f>SUM(B7:B10)</f>
        <v>14176286.250745881</v>
      </c>
      <c r="C11" s="65" t="s">
        <v>11</v>
      </c>
    </row>
    <row r="12" spans="1:3" s="25" customFormat="1" x14ac:dyDescent="0.25">
      <c r="A12" s="5" t="s">
        <v>10</v>
      </c>
      <c r="B12" s="38">
        <f>'Ikke-påvirkelige omkostninger'!M2</f>
        <v>612237</v>
      </c>
      <c r="C12" t="s">
        <v>11</v>
      </c>
    </row>
    <row r="13" spans="1:3" s="25" customFormat="1" x14ac:dyDescent="0.25">
      <c r="A13" s="4" t="s">
        <v>72</v>
      </c>
      <c r="B13" s="51">
        <f>SUM(B12:B12)</f>
        <v>612237</v>
      </c>
      <c r="C13" s="65" t="s">
        <v>11</v>
      </c>
    </row>
    <row r="14" spans="1:3" x14ac:dyDescent="0.25">
      <c r="A14" s="1"/>
      <c r="B14" s="38"/>
    </row>
    <row r="15" spans="1:3" ht="15.75" thickBot="1" x14ac:dyDescent="0.3">
      <c r="A15" s="30" t="s">
        <v>61</v>
      </c>
      <c r="B15" s="40">
        <f>SUM(B6,B11,B13)</f>
        <v>23151033.773351062</v>
      </c>
      <c r="C15" s="30" t="s">
        <v>3</v>
      </c>
    </row>
    <row r="16" spans="1:3" ht="15.75" thickTop="1" x14ac:dyDescent="0.25"/>
    <row r="17" spans="1:3" ht="15.75" thickBot="1" x14ac:dyDescent="0.3">
      <c r="A17" s="30" t="s">
        <v>55</v>
      </c>
      <c r="B17" s="40">
        <f>B15*Pristalsregulering!C8*Pristalsregulering!C9</f>
        <v>23355960.705043979</v>
      </c>
      <c r="C17" s="30" t="s">
        <v>3</v>
      </c>
    </row>
    <row r="18" spans="1:3" ht="15.75" hidden="1" thickTop="1" x14ac:dyDescent="0.25">
      <c r="B18" s="64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10" location="'Finansielle omkostninger'!A1" display="Finansielle omkostninger"/>
    <hyperlink ref="A5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5" bestFit="1" customWidth="1"/>
    <col min="2" max="3" width="15.7109375" style="38" customWidth="1"/>
    <col min="4" max="4" width="22.7109375" style="38" customWidth="1"/>
    <col min="5" max="9" width="15.7109375" style="38" customWidth="1"/>
    <col min="10" max="10" width="29.85546875" style="38" customWidth="1"/>
    <col min="11" max="11" width="44.140625" style="38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13</v>
      </c>
      <c r="B1" s="62" t="s">
        <v>14</v>
      </c>
      <c r="C1" s="62" t="s">
        <v>62</v>
      </c>
      <c r="D1" s="62" t="s">
        <v>63</v>
      </c>
      <c r="E1" s="62" t="s">
        <v>56</v>
      </c>
      <c r="F1" s="55" t="s">
        <v>64</v>
      </c>
      <c r="G1" s="55" t="s">
        <v>73</v>
      </c>
      <c r="H1" s="55" t="s">
        <v>65</v>
      </c>
      <c r="I1" s="55" t="s">
        <v>50</v>
      </c>
      <c r="J1" s="14" t="s">
        <v>66</v>
      </c>
      <c r="K1" s="14" t="s">
        <v>67</v>
      </c>
    </row>
    <row r="2" spans="1:11" s="26" customFormat="1" ht="15.75" thickTop="1" x14ac:dyDescent="0.25">
      <c r="A2" s="31">
        <v>2015</v>
      </c>
      <c r="B2" s="52">
        <v>7832303</v>
      </c>
      <c r="C2" s="52">
        <v>0</v>
      </c>
      <c r="D2" s="52">
        <f>B2+C2</f>
        <v>7832303</v>
      </c>
      <c r="E2" s="53">
        <f>D2</f>
        <v>7832303</v>
      </c>
      <c r="F2" s="52">
        <v>7947713.2071945127</v>
      </c>
      <c r="G2" s="52">
        <v>57188.714399999997</v>
      </c>
      <c r="H2" s="52">
        <f>F2-G2</f>
        <v>7890524.4927945128</v>
      </c>
      <c r="I2" s="52">
        <f>AVERAGEIF(E2:E4,"&lt;&gt;0")</f>
        <v>7941254.6424626661</v>
      </c>
      <c r="J2" s="52">
        <v>6107378.8998103738</v>
      </c>
      <c r="K2" s="42">
        <f>IF(H2&gt;I2,IF(I2&gt;J2,I2,J2),H2)</f>
        <v>7890524.4927945128</v>
      </c>
    </row>
    <row r="3" spans="1:11" s="26" customFormat="1" x14ac:dyDescent="0.25">
      <c r="A3" s="31">
        <v>2014</v>
      </c>
      <c r="B3" s="52">
        <v>7549510</v>
      </c>
      <c r="C3" s="52"/>
      <c r="D3" s="52">
        <f t="shared" ref="D3:D4" si="0">B3+C3</f>
        <v>7549510</v>
      </c>
      <c r="E3" s="53">
        <f>D3*Pristalsregulering!C7</f>
        <v>7555549.6079999991</v>
      </c>
      <c r="F3" s="52"/>
      <c r="G3" s="52"/>
      <c r="H3" s="52">
        <f t="shared" ref="H3:H4" si="1">F3-G3</f>
        <v>0</v>
      </c>
      <c r="I3" s="52"/>
      <c r="J3" s="52"/>
      <c r="K3" s="38"/>
    </row>
    <row r="4" spans="1:11" x14ac:dyDescent="0.25">
      <c r="A4" s="31">
        <v>2013</v>
      </c>
      <c r="B4" s="52">
        <v>8304599</v>
      </c>
      <c r="C4" s="52"/>
      <c r="D4" s="52">
        <f t="shared" si="0"/>
        <v>8304599</v>
      </c>
      <c r="E4" s="53">
        <f>D4*Pristalsregulering!$C$6*Pristalsregulering!$C$7</f>
        <v>8435911.3193879984</v>
      </c>
      <c r="F4" s="52"/>
      <c r="G4" s="52"/>
      <c r="H4" s="52">
        <f t="shared" si="1"/>
        <v>0</v>
      </c>
      <c r="I4" s="52"/>
      <c r="J4" s="52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25" customWidth="1"/>
    <col min="5" max="5" width="30.7109375" style="58" customWidth="1"/>
    <col min="6" max="6" width="30.7109375" customWidth="1"/>
    <col min="7" max="7" width="30.7109375" style="25" customWidth="1"/>
    <col min="8" max="8" width="30.7109375" style="58" customWidth="1"/>
    <col min="9" max="10" width="30.7109375" customWidth="1"/>
    <col min="11" max="11" width="30.7109375" style="58" customWidth="1"/>
    <col min="12" max="12" width="9.140625" hidden="1" customWidth="1"/>
    <col min="13" max="37" width="0" hidden="1" customWidth="1"/>
    <col min="38" max="38" width="9.140625" hidden="1" customWidth="1"/>
    <col min="39" max="44" width="0" hidden="1" customWidth="1"/>
    <col min="45" max="45" width="9.140625" hidden="1" customWidth="1"/>
    <col min="46" max="70" width="0" hidden="1" customWidth="1"/>
    <col min="71" max="71" width="9.140625" hidden="1" customWidth="1"/>
    <col min="72" max="75" width="0" hidden="1" customWidth="1"/>
    <col min="76" max="76" width="9.140625" hidden="1" customWidth="1"/>
    <col min="77" max="82" width="0" hidden="1" customWidth="1"/>
    <col min="83" max="83" width="9.140625" hidden="1" customWidth="1"/>
    <col min="84" max="108" width="0" hidden="1" customWidth="1"/>
    <col min="109" max="110" width="9.140625" hidden="1" customWidth="1"/>
    <col min="111" max="114" width="0" hidden="1" customWidth="1"/>
    <col min="115" max="115" width="9.140625" hidden="1" customWidth="1"/>
    <col min="116" max="121" width="0" hidden="1" customWidth="1"/>
    <col min="122" max="122" width="9.140625" hidden="1" customWidth="1"/>
    <col min="123" max="147" width="0" hidden="1" customWidth="1"/>
    <col min="148" max="148" width="9.140625" hidden="1" customWidth="1"/>
    <col min="149" max="154" width="0" hidden="1" customWidth="1"/>
    <col min="155" max="155" width="9.140625" hidden="1" customWidth="1"/>
    <col min="156" max="180" width="0" hidden="1" customWidth="1"/>
    <col min="181" max="181" width="9.140625" hidden="1" customWidth="1"/>
    <col min="182" max="185" width="0" hidden="1" customWidth="1"/>
    <col min="186" max="186" width="9.140625" hidden="1" customWidth="1"/>
    <col min="187" max="192" width="0" hidden="1" customWidth="1"/>
    <col min="193" max="193" width="9.140625" hidden="1" customWidth="1"/>
    <col min="194" max="218" width="0" hidden="1" customWidth="1"/>
    <col min="219" max="220" width="9.140625" hidden="1" customWidth="1"/>
    <col min="221" max="224" width="0" hidden="1" customWidth="1"/>
    <col min="225" max="225" width="9.140625" hidden="1" customWidth="1"/>
    <col min="226" max="231" width="0" hidden="1" customWidth="1"/>
    <col min="232" max="232" width="9.140625" hidden="1" customWidth="1"/>
    <col min="233" max="257" width="0" hidden="1" customWidth="1"/>
    <col min="258" max="258" width="9.140625" hidden="1" customWidth="1"/>
    <col min="259" max="264" width="0" hidden="1" customWidth="1"/>
    <col min="265" max="265" width="9.140625" hidden="1" customWidth="1"/>
    <col min="266" max="290" width="0" hidden="1" customWidth="1"/>
    <col min="291" max="291" width="9.140625" hidden="1" customWidth="1"/>
    <col min="292" max="295" width="0" hidden="1" customWidth="1"/>
    <col min="296" max="296" width="9.140625" hidden="1" customWidth="1"/>
    <col min="297" max="302" width="0" hidden="1" customWidth="1"/>
    <col min="303" max="303" width="9.140625" hidden="1" customWidth="1"/>
    <col min="304" max="328" width="0" hidden="1" customWidth="1"/>
    <col min="329" max="329" width="9.140625" hidden="1" customWidth="1"/>
    <col min="330" max="341" width="0" hidden="1" customWidth="1"/>
    <col min="342" max="16384" width="9.140625" hidden="1"/>
  </cols>
  <sheetData>
    <row r="1" spans="1:11" s="30" customFormat="1" ht="15.75" thickBot="1" x14ac:dyDescent="0.3">
      <c r="A1" s="10"/>
      <c r="B1" s="36" t="s">
        <v>75</v>
      </c>
      <c r="C1" s="36"/>
      <c r="D1" s="36"/>
      <c r="E1" s="66" t="s">
        <v>76</v>
      </c>
      <c r="F1" s="13"/>
      <c r="G1" s="13"/>
      <c r="H1" s="66" t="s">
        <v>77</v>
      </c>
      <c r="I1" s="13"/>
      <c r="J1" s="13"/>
      <c r="K1" s="66"/>
    </row>
    <row r="2" spans="1:11" ht="30.75" thickTop="1" x14ac:dyDescent="0.25">
      <c r="A2" s="20" t="s">
        <v>13</v>
      </c>
      <c r="B2" s="37" t="s">
        <v>22</v>
      </c>
      <c r="C2" s="37" t="s">
        <v>23</v>
      </c>
      <c r="D2" s="37" t="s">
        <v>24</v>
      </c>
      <c r="E2" s="59" t="s">
        <v>22</v>
      </c>
      <c r="F2" s="37" t="s">
        <v>23</v>
      </c>
      <c r="G2" s="37" t="s">
        <v>24</v>
      </c>
      <c r="H2" s="59" t="s">
        <v>22</v>
      </c>
      <c r="I2" s="37" t="s">
        <v>23</v>
      </c>
      <c r="J2" s="37" t="s">
        <v>24</v>
      </c>
      <c r="K2" s="56" t="s">
        <v>25</v>
      </c>
    </row>
    <row r="3" spans="1:11" s="25" customFormat="1" x14ac:dyDescent="0.25">
      <c r="A3" s="31">
        <v>2016</v>
      </c>
      <c r="B3" s="75"/>
      <c r="C3" s="75"/>
      <c r="D3" s="75">
        <v>325000</v>
      </c>
      <c r="E3" s="48">
        <f t="shared" ref="E3:G4" si="0">B3</f>
        <v>0</v>
      </c>
      <c r="F3" s="38">
        <f t="shared" si="0"/>
        <v>0</v>
      </c>
      <c r="G3" s="38">
        <f t="shared" si="0"/>
        <v>325000</v>
      </c>
      <c r="H3" s="48">
        <f>IF(E4=0,0,AVERAGEIF(E4:E6,"&lt;&gt;0"))+E3</f>
        <v>39310.068399999996</v>
      </c>
      <c r="I3" s="41">
        <f>IF(F4=0,0,AVERAGEIF(F4:F6,"&lt;&gt;0"))+F3</f>
        <v>11787.317907999999</v>
      </c>
      <c r="J3" s="41">
        <f>IF(G4=0,0,AVERAGEIF(G4:G6,"&lt;&gt;0"))+G3</f>
        <v>325000</v>
      </c>
      <c r="K3" s="60">
        <f>SUM(H3:J3)</f>
        <v>376097.38630800002</v>
      </c>
    </row>
    <row r="4" spans="1:11" x14ac:dyDescent="0.25">
      <c r="A4" s="31">
        <v>2015</v>
      </c>
      <c r="B4" s="38">
        <v>45923</v>
      </c>
      <c r="C4" s="38">
        <v>15285</v>
      </c>
      <c r="D4" s="38"/>
      <c r="E4" s="48">
        <f t="shared" si="0"/>
        <v>45923</v>
      </c>
      <c r="F4" s="38">
        <f t="shared" si="0"/>
        <v>15285</v>
      </c>
      <c r="G4" s="38">
        <f t="shared" si="0"/>
        <v>0</v>
      </c>
      <c r="H4" s="48"/>
      <c r="I4" s="41"/>
      <c r="J4" s="41"/>
      <c r="K4" s="57"/>
    </row>
    <row r="5" spans="1:11" x14ac:dyDescent="0.25">
      <c r="A5" s="31">
        <v>2014</v>
      </c>
      <c r="B5" s="38">
        <v>32671</v>
      </c>
      <c r="C5" s="38">
        <v>13233</v>
      </c>
      <c r="D5" s="38"/>
      <c r="E5" s="48">
        <f>B5*Pristalsregulering!$C$7</f>
        <v>32697.136799999997</v>
      </c>
      <c r="F5" s="38">
        <f>C5*Pristalsregulering!$C$7</f>
        <v>13243.586399999998</v>
      </c>
      <c r="G5" s="38">
        <f>D5*Pristalsregulering!$C$7</f>
        <v>0</v>
      </c>
      <c r="H5" s="48"/>
      <c r="I5" s="38"/>
      <c r="J5" s="41"/>
      <c r="K5" s="48"/>
    </row>
    <row r="6" spans="1:11" x14ac:dyDescent="0.25">
      <c r="A6" s="31">
        <v>2013</v>
      </c>
      <c r="B6" s="38"/>
      <c r="C6" s="38">
        <v>6727</v>
      </c>
      <c r="D6" s="38"/>
      <c r="E6" s="48">
        <f>B6*Pristalsregulering!$C$7*Pristalsregulering!$C$6</f>
        <v>0</v>
      </c>
      <c r="F6" s="38">
        <f>C6*Pristalsregulering!$C$7*Pristalsregulering!$C$6</f>
        <v>6833.3673239999989</v>
      </c>
      <c r="G6" s="38">
        <f>D6*Pristalsregulering!$C$7*Pristalsregulering!$C$6</f>
        <v>0</v>
      </c>
      <c r="H6" s="48"/>
      <c r="I6" s="38"/>
      <c r="J6" s="41"/>
      <c r="K6" s="48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16.140625" style="28" bestFit="1" customWidth="1"/>
    <col min="3" max="3" width="24.28515625" style="28" bestFit="1" customWidth="1"/>
    <col min="4" max="4" width="15.7109375" style="28" customWidth="1"/>
    <col min="5" max="5" width="16.140625" style="28" bestFit="1" customWidth="1"/>
    <col min="6" max="6" width="24.28515625" style="28" bestFit="1" customWidth="1"/>
    <col min="7" max="8" width="15.7109375" style="28" customWidth="1"/>
    <col min="9" max="9" width="9.140625" style="28" hidden="1" customWidth="1"/>
    <col min="10" max="16384" width="9.140625" style="28" hidden="1"/>
  </cols>
  <sheetData>
    <row r="1" spans="1:8" ht="15.75" thickBot="1" x14ac:dyDescent="0.3">
      <c r="A1" s="33"/>
      <c r="B1" s="76" t="s">
        <v>26</v>
      </c>
      <c r="C1" s="77"/>
      <c r="D1" s="77"/>
      <c r="E1" s="78" t="s">
        <v>57</v>
      </c>
      <c r="F1" s="79"/>
      <c r="G1" s="80"/>
      <c r="H1" s="32"/>
    </row>
    <row r="2" spans="1:8" s="24" customFormat="1" ht="15.75" thickTop="1" x14ac:dyDescent="0.25">
      <c r="A2" s="22" t="s">
        <v>13</v>
      </c>
      <c r="B2" s="19" t="s">
        <v>27</v>
      </c>
      <c r="C2" s="23" t="s">
        <v>28</v>
      </c>
      <c r="D2" s="23" t="s">
        <v>29</v>
      </c>
      <c r="E2" s="19" t="s">
        <v>27</v>
      </c>
      <c r="F2" s="23" t="s">
        <v>28</v>
      </c>
      <c r="G2" s="49" t="s">
        <v>29</v>
      </c>
      <c r="H2" s="7" t="s">
        <v>31</v>
      </c>
    </row>
    <row r="3" spans="1:8" x14ac:dyDescent="0.25">
      <c r="A3" s="34">
        <v>2015</v>
      </c>
      <c r="B3" s="44">
        <v>2791</v>
      </c>
      <c r="C3" s="45">
        <v>32116</v>
      </c>
      <c r="D3" s="45">
        <v>0</v>
      </c>
      <c r="E3" s="44">
        <f>B3</f>
        <v>2791</v>
      </c>
      <c r="F3" s="45">
        <f t="shared" ref="F3:G3" si="0">C3</f>
        <v>32116</v>
      </c>
      <c r="G3" s="46">
        <f t="shared" si="0"/>
        <v>0</v>
      </c>
      <c r="H3" s="47">
        <f>IF(E3=0,0,AVERAGEIF(E3:E5,"&lt;&gt;0"))+IF(F3=0,0,AVERAGEIF(F3:F5,"&lt;&gt;0"))+IF(G3=0,0,AVERAGEIF(G3:G5,"&lt;&gt;0"))</f>
        <v>38699.929102666661</v>
      </c>
    </row>
    <row r="4" spans="1:8" x14ac:dyDescent="0.25">
      <c r="A4" s="34">
        <v>2014</v>
      </c>
      <c r="B4" s="44">
        <v>11124</v>
      </c>
      <c r="C4" s="45">
        <v>19600</v>
      </c>
      <c r="D4" s="45">
        <v>0</v>
      </c>
      <c r="E4" s="44">
        <f>B4*Pristalsregulering!$C$7</f>
        <v>11132.8992</v>
      </c>
      <c r="F4" s="45">
        <f>C4*Pristalsregulering!$C$7</f>
        <v>19615.679999999997</v>
      </c>
      <c r="G4" s="46">
        <f>D4*Pristalsregulering!$C$7</f>
        <v>0</v>
      </c>
      <c r="H4" s="45"/>
    </row>
    <row r="5" spans="1:8" x14ac:dyDescent="0.25">
      <c r="A5" s="34">
        <v>2013</v>
      </c>
      <c r="B5" s="44">
        <v>12059</v>
      </c>
      <c r="C5" s="45">
        <v>37600</v>
      </c>
      <c r="D5" s="45">
        <v>0</v>
      </c>
      <c r="E5" s="44">
        <f>B5*Pristalsregulering!$C$7*Pristalsregulering!$C$6</f>
        <v>12249.676907999998</v>
      </c>
      <c r="F5" s="45">
        <f>C5*Pristalsregulering!$C$7*Pristalsregulering!$C$6</f>
        <v>38194.53119999999</v>
      </c>
      <c r="G5" s="46">
        <f>D5*Pristalsregulering!$C$7*Pristalsregulering!$C$6</f>
        <v>0</v>
      </c>
      <c r="H5" s="45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13</v>
      </c>
      <c r="B1" s="12" t="s">
        <v>54</v>
      </c>
    </row>
    <row r="2" spans="1:2" ht="15.75" thickTop="1" x14ac:dyDescent="0.25">
      <c r="A2" s="31">
        <v>2015</v>
      </c>
      <c r="B2" s="52">
        <v>57188.714399999997</v>
      </c>
    </row>
  </sheetData>
  <sheetProtection password="C6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5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5" customFormat="1" ht="15.75" thickBot="1" x14ac:dyDescent="0.3">
      <c r="A1" s="74"/>
      <c r="B1" s="79" t="s">
        <v>70</v>
      </c>
      <c r="C1" s="79"/>
      <c r="D1" s="80"/>
      <c r="E1" s="81" t="s">
        <v>71</v>
      </c>
      <c r="F1" s="81"/>
      <c r="G1" s="81"/>
    </row>
    <row r="2" spans="1:7" s="25" customFormat="1" ht="15.75" thickTop="1" x14ac:dyDescent="0.25">
      <c r="A2" s="72" t="s">
        <v>13</v>
      </c>
      <c r="B2" s="26" t="s">
        <v>68</v>
      </c>
      <c r="C2" s="26" t="s">
        <v>1</v>
      </c>
      <c r="D2" s="31" t="s">
        <v>69</v>
      </c>
      <c r="E2" s="25" t="s">
        <v>0</v>
      </c>
      <c r="F2" s="25" t="s">
        <v>1</v>
      </c>
      <c r="G2" s="25" t="s">
        <v>2</v>
      </c>
    </row>
    <row r="3" spans="1:7" s="25" customFormat="1" x14ac:dyDescent="0.25">
      <c r="A3" s="73">
        <v>2015</v>
      </c>
      <c r="B3" s="41">
        <v>10304288.445211157</v>
      </c>
      <c r="C3" s="41">
        <v>2002665.5393333333</v>
      </c>
      <c r="D3" s="43">
        <v>80250</v>
      </c>
      <c r="E3" s="38">
        <f>B3*Pristalsregulering!C2*Pristalsregulering!C3*Pristalsregulering!C4*Pristalsregulering!C5*Pristalsregulering!C6*Pristalsregulering!C7</f>
        <v>11218268.166097127</v>
      </c>
      <c r="F3" s="38">
        <v>2069065.1731820863</v>
      </c>
      <c r="G3" s="38">
        <f>D3</f>
        <v>80250</v>
      </c>
    </row>
    <row r="4" spans="1:7" s="25" customFormat="1" hidden="1" x14ac:dyDescent="0.25">
      <c r="A4" s="26"/>
      <c r="B4" s="26"/>
      <c r="C4" s="26"/>
      <c r="D4" s="26"/>
    </row>
    <row r="5" spans="1:7" s="29" customFormat="1" hidden="1" x14ac:dyDescent="0.25">
      <c r="A5" s="7"/>
      <c r="B5" s="7"/>
      <c r="C5" s="7"/>
      <c r="D5" s="35"/>
    </row>
    <row r="6" spans="1:7" hidden="1" x14ac:dyDescent="0.25">
      <c r="A6" s="28"/>
      <c r="B6" s="71"/>
      <c r="C6" s="45"/>
      <c r="D6" s="26"/>
    </row>
    <row r="7" spans="1:7" hidden="1" x14ac:dyDescent="0.25">
      <c r="A7" s="28"/>
      <c r="B7" s="28"/>
      <c r="C7" s="28"/>
      <c r="D7" s="26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1" customWidth="1"/>
    <col min="6" max="7" width="15.7109375" customWidth="1"/>
    <col min="8" max="8" width="18.140625" bestFit="1" customWidth="1"/>
    <col min="9" max="9" width="15.7109375" style="31" customWidth="1"/>
    <col min="10" max="11" width="15.7109375" customWidth="1"/>
    <col min="12" max="12" width="15.7109375" style="31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3"/>
      <c r="B1" s="76" t="s">
        <v>42</v>
      </c>
      <c r="C1" s="77"/>
      <c r="D1" s="77"/>
      <c r="E1" s="77"/>
      <c r="F1" s="78" t="s">
        <v>58</v>
      </c>
      <c r="G1" s="79"/>
      <c r="H1" s="79"/>
      <c r="I1" s="79"/>
      <c r="J1" s="82" t="s">
        <v>31</v>
      </c>
      <c r="K1" s="81"/>
      <c r="L1" s="83"/>
      <c r="M1" s="16"/>
    </row>
    <row r="2" spans="1:14" s="29" customFormat="1" ht="15.75" thickTop="1" x14ac:dyDescent="0.25">
      <c r="A2" s="22" t="s">
        <v>13</v>
      </c>
      <c r="B2" s="9" t="s">
        <v>43</v>
      </c>
      <c r="C2" s="8" t="s">
        <v>44</v>
      </c>
      <c r="D2" s="8" t="s">
        <v>45</v>
      </c>
      <c r="E2" s="54" t="s">
        <v>46</v>
      </c>
      <c r="F2" s="8" t="s">
        <v>43</v>
      </c>
      <c r="G2" s="8" t="s">
        <v>44</v>
      </c>
      <c r="H2" s="8" t="s">
        <v>45</v>
      </c>
      <c r="I2" s="54" t="s">
        <v>46</v>
      </c>
      <c r="J2" s="23" t="s">
        <v>47</v>
      </c>
      <c r="K2" s="23" t="s">
        <v>44</v>
      </c>
      <c r="L2" s="18" t="s">
        <v>74</v>
      </c>
      <c r="M2" s="7" t="s">
        <v>30</v>
      </c>
      <c r="N2" s="35"/>
    </row>
    <row r="3" spans="1:14" x14ac:dyDescent="0.25">
      <c r="A3" s="31">
        <v>2015</v>
      </c>
      <c r="B3" s="48">
        <v>0</v>
      </c>
      <c r="C3" s="41">
        <v>806034</v>
      </c>
      <c r="D3" s="41">
        <v>2084</v>
      </c>
      <c r="E3" s="43">
        <v>0</v>
      </c>
      <c r="F3" s="41">
        <f>B3</f>
        <v>0</v>
      </c>
      <c r="G3" s="41">
        <f>C3</f>
        <v>806034</v>
      </c>
      <c r="H3" s="41">
        <f>D3</f>
        <v>2084</v>
      </c>
      <c r="I3" s="43">
        <f>E3</f>
        <v>0</v>
      </c>
      <c r="J3" s="45">
        <f>AVERAGE(F3:F5)</f>
        <v>0</v>
      </c>
      <c r="K3" s="45">
        <f>G3</f>
        <v>806034</v>
      </c>
      <c r="L3" s="46">
        <f>AVERAGE(H3:H5)+AVERAGE(I3:I5)</f>
        <v>2668.9114666666665</v>
      </c>
      <c r="M3" s="47">
        <f>SUM(J3:L3)</f>
        <v>808702.91146666661</v>
      </c>
      <c r="N3" s="26"/>
    </row>
    <row r="4" spans="1:14" x14ac:dyDescent="0.25">
      <c r="A4" s="31">
        <v>2014</v>
      </c>
      <c r="B4" s="48">
        <v>0</v>
      </c>
      <c r="C4" s="41">
        <v>831599</v>
      </c>
      <c r="D4" s="41">
        <v>5918</v>
      </c>
      <c r="E4" s="43">
        <v>0</v>
      </c>
      <c r="F4" s="41">
        <f>IF(B4="","",B4*Pristalsregulering!$C$7)</f>
        <v>0</v>
      </c>
      <c r="G4" s="41">
        <f>IF(C4="","",C4*Pristalsregulering!$C$7)</f>
        <v>832264.27919999987</v>
      </c>
      <c r="H4" s="41">
        <f>IF(D4="","",D4*Pristalsregulering!$C$7)</f>
        <v>5922.7343999999994</v>
      </c>
      <c r="I4" s="43">
        <f>IF(E4="","",E4*Pristalsregulering!$C$7)</f>
        <v>0</v>
      </c>
      <c r="J4" s="41"/>
      <c r="L4" s="43"/>
      <c r="M4" s="38"/>
    </row>
    <row r="5" spans="1:14" x14ac:dyDescent="0.25">
      <c r="A5" s="31">
        <v>2013</v>
      </c>
      <c r="B5" s="48">
        <v>0</v>
      </c>
      <c r="C5" s="41">
        <v>797892</v>
      </c>
      <c r="D5" s="41">
        <v>0</v>
      </c>
      <c r="E5" s="43">
        <v>0</v>
      </c>
      <c r="F5" s="41">
        <f>IF(B5="","",B5*Pristalsregulering!$C$7*Pristalsregulering!$C$6)</f>
        <v>0</v>
      </c>
      <c r="G5" s="41">
        <f>IF(C5="","",C5*Pristalsregulering!$C$7*Pristalsregulering!$C$6)</f>
        <v>810508.26830399979</v>
      </c>
      <c r="H5" s="41">
        <f>IF(D5="","",D5*Pristalsregulering!$C$7*Pristalsregulering!$C$6)</f>
        <v>0</v>
      </c>
      <c r="I5" s="43">
        <f>IF(E5="","",E5*Pristalsregulering!$C$7*Pristalsregulering!$C$6)</f>
        <v>0</v>
      </c>
      <c r="J5" s="38"/>
      <c r="L5" s="43"/>
      <c r="M5" s="38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34.28515625" style="28" bestFit="1" customWidth="1"/>
    <col min="3" max="3" width="24" style="28" bestFit="1" customWidth="1"/>
    <col min="4" max="4" width="16.42578125" style="28" bestFit="1" customWidth="1"/>
    <col min="5" max="5" width="23.7109375" style="28" bestFit="1" customWidth="1"/>
    <col min="6" max="6" width="15.7109375" style="28" customWidth="1"/>
    <col min="7" max="7" width="25" style="28" bestFit="1" customWidth="1"/>
    <col min="8" max="8" width="16.5703125" style="28" bestFit="1" customWidth="1"/>
    <col min="9" max="9" width="51.7109375" style="28" bestFit="1" customWidth="1"/>
    <col min="10" max="10" width="44.5703125" style="28" bestFit="1" customWidth="1"/>
    <col min="11" max="11" width="44.5703125" style="28" customWidth="1"/>
    <col min="12" max="12" width="16.85546875" style="34" bestFit="1" customWidth="1"/>
    <col min="13" max="13" width="15.7109375" style="28" customWidth="1"/>
    <col min="14" max="17" width="0" style="28" hidden="1" customWidth="1"/>
    <col min="18" max="16384" width="9.140625" style="28" hidden="1"/>
  </cols>
  <sheetData>
    <row r="1" spans="1:13" s="24" customFormat="1" ht="15.75" thickBot="1" x14ac:dyDescent="0.3">
      <c r="A1" s="15" t="s">
        <v>13</v>
      </c>
      <c r="B1" s="69" t="s">
        <v>32</v>
      </c>
      <c r="C1" s="69" t="s">
        <v>33</v>
      </c>
      <c r="D1" s="69" t="s">
        <v>34</v>
      </c>
      <c r="E1" s="69" t="s">
        <v>35</v>
      </c>
      <c r="F1" s="69" t="s">
        <v>36</v>
      </c>
      <c r="G1" s="69" t="s">
        <v>37</v>
      </c>
      <c r="H1" s="69" t="s">
        <v>38</v>
      </c>
      <c r="I1" s="69" t="s">
        <v>39</v>
      </c>
      <c r="J1" s="69" t="s">
        <v>40</v>
      </c>
      <c r="K1" s="69" t="s">
        <v>59</v>
      </c>
      <c r="L1" s="70" t="s">
        <v>41</v>
      </c>
      <c r="M1" s="17" t="s">
        <v>30</v>
      </c>
    </row>
    <row r="2" spans="1:13" ht="15.75" thickTop="1" x14ac:dyDescent="0.25">
      <c r="A2" s="34">
        <v>2015</v>
      </c>
      <c r="B2" s="45">
        <v>32523</v>
      </c>
      <c r="C2" s="45">
        <v>0</v>
      </c>
      <c r="D2" s="45">
        <v>193273</v>
      </c>
      <c r="E2" s="45">
        <v>0</v>
      </c>
      <c r="F2" s="45">
        <v>0</v>
      </c>
      <c r="G2" s="45">
        <v>0</v>
      </c>
      <c r="H2" s="45">
        <v>386441</v>
      </c>
      <c r="I2" s="45">
        <v>0</v>
      </c>
      <c r="J2" s="45"/>
      <c r="K2" s="45"/>
      <c r="L2" s="46">
        <v>0</v>
      </c>
      <c r="M2" s="47">
        <f>SUM(B2:L2)</f>
        <v>612237</v>
      </c>
    </row>
    <row r="3" spans="1:13" hidden="1" x14ac:dyDescent="0.25">
      <c r="B3" s="28">
        <v>32490</v>
      </c>
      <c r="C3" s="28">
        <v>0</v>
      </c>
      <c r="D3" s="28">
        <v>0</v>
      </c>
      <c r="E3" s="28">
        <v>0</v>
      </c>
      <c r="F3" s="28">
        <v>210959</v>
      </c>
      <c r="G3" s="28">
        <v>1661218</v>
      </c>
      <c r="H3" s="28" t="s">
        <v>48</v>
      </c>
    </row>
    <row r="4" spans="1:13" hidden="1" x14ac:dyDescent="0.25">
      <c r="B4" s="28">
        <v>32328</v>
      </c>
      <c r="C4" s="28">
        <v>0</v>
      </c>
      <c r="D4" s="28">
        <v>0</v>
      </c>
      <c r="E4" s="28">
        <v>0</v>
      </c>
      <c r="F4" s="28">
        <v>0</v>
      </c>
      <c r="G4" s="28">
        <v>1602946</v>
      </c>
      <c r="H4" s="28" t="s">
        <v>48</v>
      </c>
    </row>
    <row r="5" spans="1:13" hidden="1" x14ac:dyDescent="0.25">
      <c r="B5" s="28" t="e">
        <v>#N/A</v>
      </c>
      <c r="C5" s="28" t="e">
        <v>#N/A</v>
      </c>
      <c r="D5" s="28" t="e">
        <v>#N/A</v>
      </c>
      <c r="E5" s="28" t="e">
        <v>#N/A</v>
      </c>
      <c r="F5" s="28" t="e">
        <v>#N/A</v>
      </c>
      <c r="G5" s="28" t="e">
        <v>#N/A</v>
      </c>
      <c r="H5" s="28" t="e">
        <v>#N/A</v>
      </c>
      <c r="I5" s="28" t="e">
        <v>#N/A</v>
      </c>
      <c r="J5" s="28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5" bestFit="1" customWidth="1"/>
    <col min="2" max="2" width="12.42578125" style="25" bestFit="1" customWidth="1"/>
    <col min="3" max="3" width="15.42578125" style="25" bestFit="1" customWidth="1"/>
    <col min="4" max="4" width="0" style="25" hidden="1" customWidth="1"/>
    <col min="5" max="16384" width="9.140625" style="25" hidden="1"/>
  </cols>
  <sheetData>
    <row r="1" spans="1:4" ht="15.75" thickBot="1" x14ac:dyDescent="0.3">
      <c r="A1" s="10" t="s">
        <v>13</v>
      </c>
      <c r="B1" s="13" t="s">
        <v>15</v>
      </c>
      <c r="C1" s="13" t="s">
        <v>16</v>
      </c>
      <c r="D1" s="26"/>
    </row>
    <row r="2" spans="1:4" ht="15.75" thickTop="1" x14ac:dyDescent="0.25">
      <c r="A2" s="67" t="s">
        <v>60</v>
      </c>
      <c r="B2" s="68">
        <v>1.11E-2</v>
      </c>
      <c r="C2" s="26">
        <f t="shared" ref="C2" si="0">1+B2</f>
        <v>1.0111000000000001</v>
      </c>
      <c r="D2" s="26"/>
    </row>
    <row r="3" spans="1:4" x14ac:dyDescent="0.25">
      <c r="A3" s="31" t="s">
        <v>17</v>
      </c>
      <c r="B3" s="26">
        <v>5.0000000000000001E-3</v>
      </c>
      <c r="C3" s="26">
        <f t="shared" ref="C3:C6" si="1">1+B3</f>
        <v>1.0049999999999999</v>
      </c>
      <c r="D3" s="26"/>
    </row>
    <row r="4" spans="1:4" x14ac:dyDescent="0.25">
      <c r="A4" s="31" t="s">
        <v>18</v>
      </c>
      <c r="B4" s="26">
        <v>2.3E-2</v>
      </c>
      <c r="C4" s="26">
        <f t="shared" si="1"/>
        <v>1.0229999999999999</v>
      </c>
      <c r="D4" s="26"/>
    </row>
    <row r="5" spans="1:4" x14ac:dyDescent="0.25">
      <c r="A5" s="31" t="s">
        <v>19</v>
      </c>
      <c r="B5" s="26">
        <v>3.1E-2</v>
      </c>
      <c r="C5" s="26">
        <f t="shared" si="1"/>
        <v>1.0309999999999999</v>
      </c>
      <c r="D5" s="26"/>
    </row>
    <row r="6" spans="1:4" x14ac:dyDescent="0.25">
      <c r="A6" s="31" t="s">
        <v>20</v>
      </c>
      <c r="B6" s="26">
        <v>1.4999999999999999E-2</v>
      </c>
      <c r="C6" s="26">
        <f t="shared" si="1"/>
        <v>1.0149999999999999</v>
      </c>
      <c r="D6" s="26"/>
    </row>
    <row r="7" spans="1:4" x14ac:dyDescent="0.25">
      <c r="A7" s="31" t="s">
        <v>21</v>
      </c>
      <c r="B7" s="26">
        <v>8.0000000000000004E-4</v>
      </c>
      <c r="C7" s="26">
        <f>1+B7</f>
        <v>1.0007999999999999</v>
      </c>
      <c r="D7" s="26"/>
    </row>
    <row r="8" spans="1:4" x14ac:dyDescent="0.25">
      <c r="A8" s="31" t="s">
        <v>51</v>
      </c>
      <c r="B8" s="28">
        <v>-3.8E-3</v>
      </c>
      <c r="C8" s="26">
        <f t="shared" ref="C8:C9" si="2">1+B8</f>
        <v>0.99619999999999997</v>
      </c>
      <c r="D8" s="26"/>
    </row>
    <row r="9" spans="1:4" x14ac:dyDescent="0.25">
      <c r="A9" s="31" t="s">
        <v>52</v>
      </c>
      <c r="B9" s="28">
        <v>1.2699999999999999E-2</v>
      </c>
      <c r="C9" s="26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2016-11-11T15:16:48Z</dcterms:modified>
</cp:coreProperties>
</file>