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6" l="1"/>
  <c r="G3" i="16"/>
  <c r="H3" i="16"/>
  <c r="I3" i="16"/>
  <c r="F3" i="17" l="1"/>
  <c r="G3" i="17"/>
  <c r="F4" i="16" l="1"/>
  <c r="G4" i="16"/>
  <c r="H4" i="16"/>
  <c r="I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I5" i="16"/>
  <c r="G5" i="16"/>
  <c r="I6" i="16"/>
  <c r="J3" i="24"/>
  <c r="M3" i="24" s="1"/>
  <c r="G6" i="16"/>
  <c r="H5" i="16"/>
  <c r="L3" i="16" s="1"/>
  <c r="F5" i="16"/>
  <c r="J3" i="16" s="1"/>
  <c r="H6" i="16"/>
  <c r="F6" i="16"/>
  <c r="M3" i="16" l="1"/>
  <c r="K3" i="16"/>
  <c r="B9" i="12"/>
  <c r="B10" i="12" s="1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<sst xmlns="http://schemas.openxmlformats.org/spreadsheetml/2006/main" count="119" uniqueCount="78">
  <si>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</si>
  <si>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</si>
  <si>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</si>
  <si>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</si>
  <si>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</si>
  <si>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</si>
  <si>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</si>
  <si>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</si>
  <si>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</si>
  <si>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</si>
  <si>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</si>
  <si>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</si>
  <si>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</si>
  <si>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</si>
  <si>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</si>
  <si>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</si>
  <si>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</si>
  <si>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</si>
  <si>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</si>
  <si>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</si>
  <si>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</si>
  <si>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</si>
  <si>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</si>
  <si>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SMS-service</t>
  </si>
  <si>
    <t>Vedligehold boringsnære områder</t>
  </si>
  <si>
    <t>Erstatning til grundejere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</si>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</sst>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4336854.9039253332</v>
      </c>
      <c r="C2" t="s">
        <v>11</v>
      </c>
    </row>
    <row r="3" spans="1:3" s="2" customFormat="1" x14ac:dyDescent="0.25">
      <c r="A3" s="5" t="s">
        <v>8</v>
      </c>
      <c r="B3" s="36">
        <f>'Miljø- og servicemål'!N3</f>
        <v>296151.24669999996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38627.95913333333</v>
      </c>
      <c r="C4" t="s">
        <v>11</v>
      </c>
    </row>
    <row r="5" spans="1:3" s="26" customFormat="1" x14ac:dyDescent="0.25">
      <c r="A5" s="3" t="s">
        <v>12</v>
      </c>
      <c r="B5" s="48">
        <f>SUM(B2:B4)</f>
        <v>4671634.1097586667</v>
      </c>
      <c r="C5" s="62" t="s">
        <v>11</v>
      </c>
    </row>
    <row r="6" spans="1:3" x14ac:dyDescent="0.25">
      <c r="A6" s="47" t="s">
        <v>0</v>
      </c>
      <c r="B6" s="38">
        <f>Investeringer!E3</f>
        <v>4025457.2009997065</v>
      </c>
      <c r="C6" s="23" t="s">
        <v>11</v>
      </c>
    </row>
    <row r="7" spans="1:3" x14ac:dyDescent="0.25">
      <c r="A7" s="4" t="s">
        <v>1</v>
      </c>
      <c r="B7" s="35">
        <f>Investeringer!F3</f>
        <v>1691344.4545445084</v>
      </c>
      <c r="C7" t="s">
        <v>11</v>
      </c>
    </row>
    <row r="8" spans="1:3" x14ac:dyDescent="0.25">
      <c r="A8" s="4" t="s">
        <v>2</v>
      </c>
      <c r="B8" s="35">
        <f>Investeringer!G3</f>
        <v>54333.333333333343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115384.39</v>
      </c>
      <c r="C9" t="s">
        <v>11</v>
      </c>
    </row>
    <row r="10" spans="1:3" s="22" customFormat="1" x14ac:dyDescent="0.25">
      <c r="A10" s="3" t="s">
        <v>51</v>
      </c>
      <c r="B10" s="48">
        <f>SUM(B6:B9)</f>
        <v>5886519.3788775476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omkostninger'!N2</f>
        <v>5181675.74</v>
      </c>
      <c r="C11" t="s">
        <v>11</v>
      </c>
    </row>
    <row r="12" spans="1:3" s="22" customFormat="1" x14ac:dyDescent="0.25">
      <c r="A12" s="3" t="s">
        <v>72</v>
      </c>
      <c r="B12" s="48">
        <f>SUM(B11:B11)</f>
        <v>5181675.74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61</v>
      </c>
      <c r="B14" s="37">
        <f>SUM(B5,B10,B12)</f>
        <v>15739829.228636215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7">
        <f>B14*Pristalsregulering!C8*Pristalsregulering!C9</f>
        <v>15879154.104612501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62</v>
      </c>
      <c r="D1" s="59" t="s">
        <v>63</v>
      </c>
      <c r="E1" s="59" t="s">
        <v>56</v>
      </c>
      <c r="F1" s="52" t="s">
        <v>64</v>
      </c>
      <c r="G1" s="52" t="s">
        <v>73</v>
      </c>
      <c r="H1" s="52" t="s">
        <v>65</v>
      </c>
      <c r="I1" s="52" t="s">
        <v>52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49">
        <v>4457162.74</v>
      </c>
      <c r="C2" s="49">
        <v>0</v>
      </c>
      <c r="D2" s="49">
        <f>B2+C2</f>
        <v>4457162.74</v>
      </c>
      <c r="E2" s="50">
        <f>D2</f>
        <v>4457162.74</v>
      </c>
      <c r="F2" s="49">
        <v>4845906.6457404401</v>
      </c>
      <c r="G2" s="49">
        <v>0</v>
      </c>
      <c r="H2" s="49">
        <f>F2-G2</f>
        <v>4845906.6457404401</v>
      </c>
      <c r="I2" s="49">
        <f>AVERAGEIF(E2:E4,"&lt;&gt;0")</f>
        <v>4336854.9039253332</v>
      </c>
      <c r="J2" s="49">
        <v>3963212.9274138375</v>
      </c>
      <c r="K2" s="39">
        <f>IF(H2&gt;I2,IF(I2&gt;J2,I2,J2),H2)</f>
        <v>4336854.9039253332</v>
      </c>
    </row>
    <row r="3" spans="1:11" s="23" customFormat="1" x14ac:dyDescent="0.25">
      <c r="A3" s="28">
        <v>2014</v>
      </c>
      <c r="B3" s="49">
        <v>4276847.45</v>
      </c>
      <c r="C3" s="49"/>
      <c r="D3" s="49">
        <f t="shared" ref="D3:D4" si="0">B3+C3</f>
        <v>4276847.45</v>
      </c>
      <c r="E3" s="50">
        <f>D3*Pristalsregulering!C7</f>
        <v>4280268.92796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4206618</v>
      </c>
      <c r="C4" s="49"/>
      <c r="D4" s="49">
        <f t="shared" si="0"/>
        <v>4206618</v>
      </c>
      <c r="E4" s="50">
        <f>D4*Pristalsregulering!$C$6*Pristalsregulering!$C$7</f>
        <v>4273133.0438159993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55" customWidth="1"/>
    <col min="7" max="9" width="30.7109375" customWidth="1"/>
    <col min="10" max="10" width="30.7109375" style="55" customWidth="1"/>
    <col min="11" max="13" width="30.7109375" customWidth="1"/>
    <col min="14" max="14" width="30.7109375" style="55" customWidth="1"/>
    <col min="15" max="15" width="9.140625" hidden="1" customWidth="1"/>
    <col min="16" max="100" width="0" hidden="1" customWidth="1"/>
    <col min="101" max="102" width="9.140625" hidden="1" customWidth="1"/>
    <col min="103" max="114" width="0" hidden="1" customWidth="1"/>
    <col min="115" max="116" width="9.140625" hidden="1" customWidth="1"/>
    <col min="117" max="194" width="0" hidden="1" customWidth="1"/>
    <col min="195" max="196" width="9.140625" hidden="1" customWidth="1"/>
    <col min="197" max="208" width="0" hidden="1" customWidth="1"/>
    <col min="209" max="211" width="9.140625" hidden="1" customWidth="1"/>
    <col min="212" max="222" width="0" hidden="1" customWidth="1"/>
    <col min="223" max="225" width="9.140625" hidden="1" customWidth="1"/>
    <col min="226" max="288" width="0" hidden="1" customWidth="1"/>
    <col min="289" max="290" width="9.140625" hidden="1" customWidth="1"/>
    <col min="291" max="302" width="0" hidden="1" customWidth="1"/>
    <col min="303" max="305" width="9.140625" hidden="1" customWidth="1"/>
    <col min="306" max="316" width="0" hidden="1" customWidth="1"/>
    <col min="317" max="320" width="9.140625" hidden="1" customWidth="1"/>
    <col min="321" max="330" width="0" hidden="1" customWidth="1"/>
    <col min="331" max="334" width="9.140625" hidden="1" customWidth="1"/>
    <col min="335" max="338" width="0" hidden="1" customWidth="1"/>
    <col min="339" max="16384" width="9.140625" hidden="1"/>
  </cols>
  <sheetData>
    <row r="1" spans="1:14" s="27" customFormat="1" ht="15.75" thickBot="1" x14ac:dyDescent="0.3">
      <c r="A1" s="9"/>
      <c r="B1" s="33" t="s">
        <v>75</v>
      </c>
      <c r="C1" s="33"/>
      <c r="D1" s="33"/>
      <c r="E1" s="33"/>
      <c r="F1" s="63" t="s">
        <v>76</v>
      </c>
      <c r="G1" s="10"/>
      <c r="H1" s="10"/>
      <c r="I1" s="10"/>
      <c r="J1" s="63" t="s">
        <v>77</v>
      </c>
      <c r="K1" s="10"/>
      <c r="L1" s="10"/>
      <c r="M1" s="10"/>
      <c r="N1" s="63"/>
    </row>
    <row r="2" spans="1:14" ht="30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25</v>
      </c>
      <c r="F2" s="56" t="s">
        <v>22</v>
      </c>
      <c r="G2" s="34" t="s">
        <v>23</v>
      </c>
      <c r="H2" s="34" t="s">
        <v>24</v>
      </c>
      <c r="I2" s="34" t="s">
        <v>25</v>
      </c>
      <c r="J2" s="56" t="s">
        <v>22</v>
      </c>
      <c r="K2" s="34" t="s">
        <v>23</v>
      </c>
      <c r="L2" s="34" t="s">
        <v>24</v>
      </c>
      <c r="M2" s="34" t="s">
        <v>25</v>
      </c>
      <c r="N2" s="53" t="s">
        <v>26</v>
      </c>
    </row>
    <row r="3" spans="1:14" s="22" customFormat="1" x14ac:dyDescent="0.25">
      <c r="A3" s="28">
        <v>2016</v>
      </c>
      <c r="B3" s="72"/>
      <c r="C3" s="72"/>
      <c r="D3" s="72"/>
      <c r="E3" s="72"/>
      <c r="F3" s="45">
        <f t="shared" ref="F3:I4" si="0">B3</f>
        <v>0</v>
      </c>
      <c r="G3" s="35">
        <f t="shared" si="0"/>
        <v>0</v>
      </c>
      <c r="H3" s="35">
        <f t="shared" si="0"/>
        <v>0</v>
      </c>
      <c r="I3" s="35">
        <f t="shared" si="0"/>
        <v>0</v>
      </c>
      <c r="J3" s="45">
        <f>IF(F4=0,0,AVERAGEIF(F4:F6,"&lt;&gt;0"))+F3</f>
        <v>208906.00122799998</v>
      </c>
      <c r="K3" s="38">
        <f>IF(G4=0,0,AVERAGEIF(G4:G6,"&lt;&gt;0"))+G3</f>
        <v>20093.522239999998</v>
      </c>
      <c r="L3" s="38">
        <f>IF(H4=0,0,AVERAGEIF(H4:H6,"&lt;&gt;0"))+H3</f>
        <v>55581.723232000004</v>
      </c>
      <c r="M3" s="38">
        <f>IF(I4=0,0,AVERAGEIF(I4:I6,"&lt;&gt;0"))+I3</f>
        <v>11570</v>
      </c>
      <c r="N3" s="57">
        <f>SUM(J3:M3)</f>
        <v>296151.24669999996</v>
      </c>
    </row>
    <row r="4" spans="1:14" x14ac:dyDescent="0.25">
      <c r="A4" s="28">
        <v>2015</v>
      </c>
      <c r="B4" s="35">
        <v>151358.44</v>
      </c>
      <c r="C4" s="35">
        <v>20115.400000000001</v>
      </c>
      <c r="D4" s="35">
        <v>86798.39</v>
      </c>
      <c r="E4" s="35">
        <v>11570</v>
      </c>
      <c r="F4" s="45">
        <f t="shared" si="0"/>
        <v>151358.44</v>
      </c>
      <c r="G4" s="35">
        <f t="shared" si="0"/>
        <v>20115.400000000001</v>
      </c>
      <c r="H4" s="35">
        <f t="shared" si="0"/>
        <v>86798.39</v>
      </c>
      <c r="I4" s="35">
        <f t="shared" si="0"/>
        <v>11570</v>
      </c>
      <c r="J4" s="45"/>
      <c r="K4" s="38"/>
      <c r="L4" s="38"/>
      <c r="M4" s="38"/>
      <c r="N4" s="54"/>
    </row>
    <row r="5" spans="1:14" x14ac:dyDescent="0.25">
      <c r="A5" s="28">
        <v>2014</v>
      </c>
      <c r="B5" s="35">
        <v>266240.57</v>
      </c>
      <c r="C5" s="35">
        <v>20055.599999999999</v>
      </c>
      <c r="D5" s="35">
        <v>24345.58</v>
      </c>
      <c r="E5" s="35"/>
      <c r="F5" s="45">
        <f>B5*Pristalsregulering!$C$7</f>
        <v>266453.56245599996</v>
      </c>
      <c r="G5" s="35">
        <f>C5*Pristalsregulering!$C$7</f>
        <v>20071.644479999995</v>
      </c>
      <c r="H5" s="35">
        <f>D5*Pristalsregulering!$C$7</f>
        <v>24365.056464000001</v>
      </c>
      <c r="I5" s="35">
        <f>E5*Pristalsregulering!$C$7</f>
        <v>0</v>
      </c>
      <c r="J5" s="45"/>
      <c r="K5" s="35"/>
      <c r="L5" s="35"/>
      <c r="M5" s="35"/>
      <c r="N5" s="45"/>
    </row>
    <row r="6" spans="1:14" x14ac:dyDescent="0.25">
      <c r="A6" s="28">
        <v>2013</v>
      </c>
      <c r="B6" s="35"/>
      <c r="C6" s="35"/>
      <c r="D6" s="35"/>
      <c r="E6" s="35"/>
      <c r="F6" s="45">
        <f>B6*Pristalsregulering!$C$7*Pristalsregulering!$C$6</f>
        <v>0</v>
      </c>
      <c r="G6" s="35">
        <f>C6*Pristalsregulering!$C$7*Pristalsregulering!$C$6</f>
        <v>0</v>
      </c>
      <c r="H6" s="35">
        <f>D6*Pristalsregulering!$C$7*Pristalsregulering!$C$6</f>
        <v>0</v>
      </c>
      <c r="I6" s="35">
        <f>E6*Pristalsregulering!$C$7*Pristalsregulering!$C$6</f>
        <v>0</v>
      </c>
      <c r="J6" s="45"/>
      <c r="K6" s="35"/>
      <c r="L6" s="35"/>
      <c r="M6" s="35"/>
      <c r="N6" s="45"/>
    </row>
    <row r="7" spans="1:14" hidden="1" x14ac:dyDescent="0.25"/>
    <row r="8" spans="1:14" hidden="1" x14ac:dyDescent="0.25"/>
    <row r="9" spans="1:14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27</v>
      </c>
      <c r="C1" s="74"/>
      <c r="D1" s="74"/>
      <c r="E1" s="75" t="s">
        <v>57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6" t="s">
        <v>30</v>
      </c>
      <c r="H2" s="6" t="s">
        <v>32</v>
      </c>
    </row>
    <row r="3" spans="1:8" x14ac:dyDescent="0.25">
      <c r="A3" s="31">
        <v>2015</v>
      </c>
      <c r="B3" s="41">
        <v>15300</v>
      </c>
      <c r="C3" s="42">
        <v>16194.67</v>
      </c>
      <c r="D3" s="42">
        <v>0</v>
      </c>
      <c r="E3" s="41">
        <f>B3</f>
        <v>15300</v>
      </c>
      <c r="F3" s="42">
        <f t="shared" ref="F3:G3" si="0">C3</f>
        <v>16194.67</v>
      </c>
      <c r="G3" s="43">
        <f t="shared" si="0"/>
        <v>0</v>
      </c>
      <c r="H3" s="44">
        <f>IF(E3=0,0,AVERAGEIF(E3:E5,"&lt;&gt;0"))+IF(F3=0,0,AVERAGEIF(F3:F5,"&lt;&gt;0"))+IF(G3=0,0,AVERAGEIF(G3:G5,"&lt;&gt;0"))</f>
        <v>38627.95913333333</v>
      </c>
    </row>
    <row r="4" spans="1:8" x14ac:dyDescent="0.25">
      <c r="A4" s="31">
        <v>2014</v>
      </c>
      <c r="B4" s="41">
        <v>15050</v>
      </c>
      <c r="C4" s="42">
        <v>16238</v>
      </c>
      <c r="D4" s="42">
        <v>0</v>
      </c>
      <c r="E4" s="41">
        <f>B4*Pristalsregulering!$C$7</f>
        <v>15062.039999999999</v>
      </c>
      <c r="F4" s="42">
        <f>C4*Pristalsregulering!$C$7</f>
        <v>16250.990399999999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15050</v>
      </c>
      <c r="C5" s="42">
        <v>37200</v>
      </c>
      <c r="D5" s="42">
        <v>0</v>
      </c>
      <c r="E5" s="41">
        <f>B5*Pristalsregulering!$C$7*Pristalsregulering!$C$6</f>
        <v>15287.970599999997</v>
      </c>
      <c r="F5" s="42">
        <f>C5*Pristalsregulering!$C$7*Pristalsregulering!$C$6</f>
        <v>37788.206399999988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70</v>
      </c>
      <c r="C1" s="76"/>
      <c r="D1" s="77"/>
      <c r="E1" s="78" t="s">
        <v>71</v>
      </c>
      <c r="F1" s="78"/>
      <c r="G1" s="78"/>
    </row>
    <row r="2" spans="1:7" s="22" customFormat="1" ht="15.75" thickTop="1" x14ac:dyDescent="0.25">
      <c r="A2" s="69" t="s">
        <v>13</v>
      </c>
      <c r="B2" s="23" t="s">
        <v>68</v>
      </c>
      <c r="C2" s="23" t="s">
        <v>1</v>
      </c>
      <c r="D2" s="28" t="s">
        <v>69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3697493.3660713308</v>
      </c>
      <c r="C3" s="38">
        <v>1660431.9036000005</v>
      </c>
      <c r="D3" s="40">
        <v>54333.333333333343</v>
      </c>
      <c r="E3" s="35">
        <f>B3*Pristalsregulering!C2*Pristalsregulering!C3*Pristalsregulering!C4*Pristalsregulering!C5*Pristalsregulering!C6*Pristalsregulering!C7</f>
        <v>4025457.2009997065</v>
      </c>
      <c r="F3" s="35">
        <v>1691344.4545445084</v>
      </c>
      <c r="G3" s="35">
        <f>D3</f>
        <v>54333.333333333343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44</v>
      </c>
      <c r="C1" s="74"/>
      <c r="D1" s="74"/>
      <c r="E1" s="74"/>
      <c r="F1" s="75" t="s">
        <v>58</v>
      </c>
      <c r="G1" s="76"/>
      <c r="H1" s="76"/>
      <c r="I1" s="76"/>
      <c r="J1" s="79" t="s">
        <v>32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1" t="s">
        <v>48</v>
      </c>
      <c r="F2" s="7" t="s">
        <v>45</v>
      </c>
      <c r="G2" s="7" t="s">
        <v>46</v>
      </c>
      <c r="H2" s="7" t="s">
        <v>47</v>
      </c>
      <c r="I2" s="51" t="s">
        <v>48</v>
      </c>
      <c r="J2" s="20" t="s">
        <v>49</v>
      </c>
      <c r="K2" s="20" t="s">
        <v>46</v>
      </c>
      <c r="L2" s="15" t="s">
        <v>74</v>
      </c>
      <c r="M2" s="6" t="s">
        <v>31</v>
      </c>
      <c r="N2" s="32"/>
    </row>
    <row r="3" spans="1:14" x14ac:dyDescent="0.25">
      <c r="A3" s="28">
        <v>2015</v>
      </c>
      <c r="B3" s="45">
        <v>0</v>
      </c>
      <c r="C3" s="38">
        <v>98440.3</v>
      </c>
      <c r="D3" s="38">
        <v>16204.59</v>
      </c>
      <c r="E3" s="40">
        <v>0</v>
      </c>
      <c r="F3" s="38">
        <f>B3</f>
        <v>0</v>
      </c>
      <c r="G3" s="38">
        <f>C3</f>
        <v>98440.3</v>
      </c>
      <c r="H3" s="38">
        <f>D3</f>
        <v>16204.59</v>
      </c>
      <c r="I3" s="40">
        <f>E3</f>
        <v>0</v>
      </c>
      <c r="J3" s="42">
        <f>AVERAGE(F3:F5)</f>
        <v>0</v>
      </c>
      <c r="K3" s="42">
        <f>G3</f>
        <v>98440.3</v>
      </c>
      <c r="L3" s="43">
        <f>AVERAGE(H3:H5)+AVERAGE(I3:I5)</f>
        <v>16944.09</v>
      </c>
      <c r="M3" s="44">
        <f>SUM(J3:L3)</f>
        <v>115384.39</v>
      </c>
      <c r="N3" s="23"/>
    </row>
    <row r="4" spans="1:14" x14ac:dyDescent="0.25">
      <c r="A4" s="28">
        <v>2014</v>
      </c>
      <c r="B4" s="45">
        <v>0</v>
      </c>
      <c r="C4" s="38">
        <v>70523.86</v>
      </c>
      <c r="D4" s="38">
        <v>34600</v>
      </c>
      <c r="E4" s="40">
        <v>0</v>
      </c>
      <c r="F4" s="38">
        <f>IF(B4="","",B4*Pristalsregulering!$C$7)</f>
        <v>0</v>
      </c>
      <c r="G4" s="38">
        <f>IF(C4="","",C4*Pristalsregulering!$C$7)</f>
        <v>70580.279087999996</v>
      </c>
      <c r="H4" s="38">
        <f>IF(D4="","",D4*Pristalsregulering!$C$7)</f>
        <v>34627.68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68321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69401.291651999985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6" t="s">
        <v>33</v>
      </c>
      <c r="C1" s="66" t="s">
        <v>34</v>
      </c>
      <c r="D1" s="66" t="s">
        <v>35</v>
      </c>
      <c r="E1" s="66" t="s">
        <v>36</v>
      </c>
      <c r="F1" s="66" t="s">
        <v>37</v>
      </c>
      <c r="G1" s="66" t="s">
        <v>38</v>
      </c>
      <c r="H1" s="66" t="s">
        <v>39</v>
      </c>
      <c r="I1" s="66" t="s">
        <v>40</v>
      </c>
      <c r="J1" s="66" t="s">
        <v>41</v>
      </c>
      <c r="K1" s="66" t="s">
        <v>42</v>
      </c>
      <c r="L1" s="66" t="s">
        <v>59</v>
      </c>
      <c r="M1" s="67" t="s">
        <v>43</v>
      </c>
      <c r="N1" s="14" t="s">
        <v>31</v>
      </c>
    </row>
    <row r="2" spans="1:14" ht="15.75" thickTop="1" x14ac:dyDescent="0.25">
      <c r="A2" s="31">
        <v>2015</v>
      </c>
      <c r="B2" s="42">
        <v>32522.74</v>
      </c>
      <c r="C2" s="42">
        <v>0</v>
      </c>
      <c r="D2" s="42">
        <v>0</v>
      </c>
      <c r="E2" s="42">
        <v>0</v>
      </c>
      <c r="F2" s="42">
        <v>0</v>
      </c>
      <c r="G2" s="42">
        <v>5149153</v>
      </c>
      <c r="H2" s="42" t="s">
        <v>50</v>
      </c>
      <c r="I2" s="42">
        <v>0</v>
      </c>
      <c r="J2" s="42">
        <v>0</v>
      </c>
      <c r="K2" s="42">
        <v>0</v>
      </c>
      <c r="L2" s="42"/>
      <c r="M2" s="43"/>
      <c r="N2" s="44">
        <f>SUM(B2:M2)</f>
        <v>5181675.74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60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2016-09-29T12:10:52Z</dcterms:modified>
</cp:coreProperties>
</file>