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6040" yWindow="60" windowWidth="20730" windowHeight="1102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G23" i="12"/>
  <c r="E18" i="2" s="1"/>
  <c r="G17" i="12"/>
  <c r="F11" i="11"/>
  <c r="G29" i="12" s="1"/>
  <c r="G13" i="10"/>
  <c r="E14" i="2" s="1"/>
  <c r="G14" i="2" s="1"/>
  <c r="G12" i="7"/>
  <c r="G15" i="6"/>
  <c r="G15" i="5"/>
  <c r="G15" i="4"/>
  <c r="E22" i="2"/>
  <c r="E17" i="2"/>
  <c r="E16" i="2"/>
  <c r="E10" i="2"/>
  <c r="E10" i="4" s="1"/>
  <c r="E10" i="5" s="1"/>
  <c r="E10" i="6" s="1"/>
  <c r="G22" i="2"/>
  <c r="G30" i="12" l="1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2" i="4" l="1"/>
  <c r="E9" i="5"/>
  <c r="E11" i="4"/>
  <c r="E13" i="4" s="1"/>
  <c r="G13" i="4" s="1"/>
  <c r="G16" i="4" s="1"/>
  <c r="E12" i="5" l="1"/>
  <c r="E9" i="6" s="1"/>
  <c r="E11" i="5"/>
  <c r="E13" i="5" s="1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<sst xmlns="http://schemas.openxmlformats.org/spreadsheetml/2006/main" count="244" uniqueCount="119">
  <si>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</si>
  <si>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</si>
  <si>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</si>
  <si>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</si>
  <si>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</si>
  <si>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</si>
  <si>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</si>
  <si>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</si>
  <si>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</si>
  <si>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</si>
  <si>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</si>
  <si>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</si>
  <si>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</si>
  <si>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</si>
  <si>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</si>
  <si>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</si>
  <si>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</si>
  <si>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</si>
  <si>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</si>
  <si>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</si>
  <si>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</si>
  <si>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</si>
  <si>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</si>
  <si>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</si>
  <si>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</si>
  <si>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</si>
  <si>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</si>
  <si>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</si>
  <si>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</si>
  <si>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</si>
  <si>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</si>
  <si>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</si>
  <si>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</si>
  <si>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</si>
  <si>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</si>
  <si>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</si>
  <si>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</si>
  <si>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</si>
  <si>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</si>
  <si>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</si>
  <si>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</si>
  <si>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</si>
  <si>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</si>
  <si>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</si>
  <si>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</si>
  <si>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</si>
  <si>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</si>
  <si>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</si>
  <si>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</si>
  <si>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</si>
  <si>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</si>
  <si>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</si>
  <si>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</si>
  <si>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</si>
  <si>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</si>
  <si>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</si>
  <si>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</si>
  <si>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</si>
  <si>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</si>
  <si>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</si>
  <si>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</si>
  <si>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</si>
  <si>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</si>
  <si>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</si>
  <si>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</si>
  <si>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</si>
  <si>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</si>
  <si>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</si>
  <si>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</si>
  <si>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</si>
  <si>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</si>
  <si>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</si>
  <si>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</si>
  <si>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</si>
  <si>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</si>
  <si>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</si>
  <si>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</si>
  <si>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</si>
  <si>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</si>
  <si>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</si>
  <si>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</si>
  <si>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</si>
  <si>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</si>
  <si>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</si>
  <si>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</si>
  <si>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</si>
  <si>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</si>
  <si>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</si>
  <si>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</si>
  <si>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</si>
  <si>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</si>
  <si>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</si>
  <si>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</si>
  <si>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</si>
  <si>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</si>
  <si>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</si>
  <si>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</si>
  <si>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</si>
  <si>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</si>
  <si>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</si>
  <si>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</si>
  <si>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</si>
  <si>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</si>
  <si>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</si>
  <si>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</si>
  <si>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</si>
  <si>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</si>
  <si>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</si>
  <si>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</si>
  <si>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</si>
  <si>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Ingen gennemførte investeringer i 2015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</si>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</sst>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91" t="s">
        <v>116</v>
      </c>
      <c r="C3" s="91"/>
      <c r="D3" s="91"/>
      <c r="E3" s="91"/>
      <c r="F3" s="91"/>
      <c r="G3" s="91"/>
      <c r="H3" s="91"/>
      <c r="I3" s="1"/>
    </row>
    <row r="4" spans="1:9" ht="15" customHeight="1" x14ac:dyDescent="0.25">
      <c r="A4" s="1"/>
      <c r="B4" s="91"/>
      <c r="C4" s="91"/>
      <c r="D4" s="91"/>
      <c r="E4" s="91"/>
      <c r="F4" s="91"/>
      <c r="G4" s="91"/>
      <c r="H4" s="9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8" t="s">
        <v>93</v>
      </c>
      <c r="C8" s="89"/>
      <c r="D8" s="89"/>
      <c r="E8" s="89"/>
      <c r="F8" s="89"/>
      <c r="G8" s="89"/>
      <c r="H8" s="90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2212681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1552764</v>
      </c>
      <c r="H10" s="10" t="s">
        <v>4</v>
      </c>
      <c r="I10" s="1"/>
    </row>
    <row r="11" spans="1:9" x14ac:dyDescent="0.25">
      <c r="A11" s="1"/>
      <c r="B11" s="73" t="s">
        <v>83</v>
      </c>
      <c r="C11" s="74"/>
      <c r="D11" s="74"/>
      <c r="E11" s="74"/>
      <c r="F11" s="75"/>
      <c r="G11" s="34">
        <f>G9-G10</f>
        <v>659917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8" t="s">
        <v>84</v>
      </c>
      <c r="C14" s="89"/>
      <c r="D14" s="89"/>
      <c r="E14" s="89"/>
      <c r="F14" s="89"/>
      <c r="G14" s="89"/>
      <c r="H14" s="90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103258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190000</v>
      </c>
      <c r="H16" s="10" t="s">
        <v>4</v>
      </c>
      <c r="I16" s="1"/>
    </row>
    <row r="17" spans="1:9" x14ac:dyDescent="0.25">
      <c r="A17" s="1"/>
      <c r="B17" s="73" t="s">
        <v>87</v>
      </c>
      <c r="C17" s="74"/>
      <c r="D17" s="74"/>
      <c r="E17" s="74"/>
      <c r="F17" s="75"/>
      <c r="G17" s="34">
        <f>G15-G16</f>
        <v>-86742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8" t="s">
        <v>94</v>
      </c>
      <c r="C20" s="89"/>
      <c r="D20" s="89"/>
      <c r="E20" s="89"/>
      <c r="F20" s="89"/>
      <c r="G20" s="89"/>
      <c r="H20" s="90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0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0</v>
      </c>
      <c r="H22" s="10" t="s">
        <v>4</v>
      </c>
      <c r="I22" s="1"/>
    </row>
    <row r="23" spans="1:9" x14ac:dyDescent="0.25">
      <c r="A23" s="1"/>
      <c r="B23" s="73" t="s">
        <v>96</v>
      </c>
      <c r="C23" s="74"/>
      <c r="D23" s="74"/>
      <c r="E23" s="74"/>
      <c r="F23" s="75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8" t="s">
        <v>88</v>
      </c>
      <c r="C26" s="89"/>
      <c r="D26" s="89"/>
      <c r="E26" s="89"/>
      <c r="F26" s="89"/>
      <c r="G26" s="89"/>
      <c r="H26" s="90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16667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5000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2015'!F11</f>
        <v>0</v>
      </c>
      <c r="H29" s="10" t="s">
        <v>4</v>
      </c>
      <c r="I29" s="1"/>
    </row>
    <row r="30" spans="1:9" x14ac:dyDescent="0.25">
      <c r="A30" s="1"/>
      <c r="B30" s="73" t="s">
        <v>88</v>
      </c>
      <c r="C30" s="74"/>
      <c r="D30" s="74"/>
      <c r="E30" s="74"/>
      <c r="F30" s="75"/>
      <c r="G30" s="34">
        <f>G29-G27+G29-G28</f>
        <v>-21667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8:F28"/>
    <mergeCell ref="B29:F29"/>
    <mergeCell ref="B30:F30"/>
    <mergeCell ref="B21:F21"/>
    <mergeCell ref="B22:F22"/>
    <mergeCell ref="B23:F23"/>
    <mergeCell ref="B26:H26"/>
    <mergeCell ref="B27:F2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1" t="s">
        <v>117</v>
      </c>
      <c r="C3" s="91"/>
      <c r="D3" s="91"/>
      <c r="E3" s="91"/>
      <c r="F3" s="91"/>
      <c r="G3" s="91"/>
      <c r="H3" s="91"/>
      <c r="I3" s="1"/>
    </row>
    <row r="4" spans="1:9" ht="15" customHeight="1" x14ac:dyDescent="0.25">
      <c r="A4" s="1"/>
      <c r="B4" s="91"/>
      <c r="C4" s="91"/>
      <c r="D4" s="91"/>
      <c r="E4" s="91"/>
      <c r="F4" s="91"/>
      <c r="G4" s="91"/>
      <c r="H4" s="9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49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4375779</v>
      </c>
      <c r="H9" s="16" t="s">
        <v>4</v>
      </c>
      <c r="I9" s="1"/>
    </row>
    <row r="10" spans="1:9" x14ac:dyDescent="0.25">
      <c r="A10" s="1"/>
      <c r="B10" s="73" t="s">
        <v>52</v>
      </c>
      <c r="C10" s="74"/>
      <c r="D10" s="74"/>
      <c r="E10" s="74"/>
      <c r="F10" s="74"/>
      <c r="G10" s="74"/>
      <c r="H10" s="75"/>
      <c r="I10" s="1"/>
    </row>
    <row r="11" spans="1:9" x14ac:dyDescent="0.25">
      <c r="A11" s="1"/>
      <c r="B11" s="77" t="s">
        <v>53</v>
      </c>
      <c r="C11" s="78"/>
      <c r="D11" s="79"/>
      <c r="E11" s="36">
        <v>1439747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8579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17158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26667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1492151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12000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12000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7" t="s">
        <v>62</v>
      </c>
      <c r="C20" s="68"/>
      <c r="D20" s="69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7" t="s">
        <v>63</v>
      </c>
      <c r="C21" s="68"/>
      <c r="D21" s="69"/>
      <c r="E21" s="36">
        <v>0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7" t="s">
        <v>66</v>
      </c>
      <c r="C24" s="68"/>
      <c r="D24" s="69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7" t="s">
        <v>67</v>
      </c>
      <c r="C25" s="68"/>
      <c r="D25" s="69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7" t="s">
        <v>68</v>
      </c>
      <c r="C26" s="68"/>
      <c r="D26" s="69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0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1504151</v>
      </c>
      <c r="F28" s="16" t="s">
        <v>4</v>
      </c>
      <c r="G28" s="31">
        <f>IF(E28&lt;0,0,-E28)</f>
        <v>-1504151</v>
      </c>
      <c r="H28" s="16" t="s">
        <v>4</v>
      </c>
      <c r="I28" s="1"/>
    </row>
    <row r="29" spans="1:9" x14ac:dyDescent="0.25">
      <c r="A29" s="1"/>
      <c r="B29" s="73" t="s">
        <v>71</v>
      </c>
      <c r="C29" s="74"/>
      <c r="D29" s="74"/>
      <c r="E29" s="74"/>
      <c r="F29" s="74"/>
      <c r="G29" s="74"/>
      <c r="H29" s="75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111</v>
      </c>
      <c r="C31" s="74"/>
      <c r="D31" s="74"/>
      <c r="E31" s="74"/>
      <c r="F31" s="74"/>
      <c r="G31" s="74"/>
      <c r="H31" s="75"/>
      <c r="I31" s="1"/>
    </row>
    <row r="32" spans="1:9" ht="30" customHeight="1" x14ac:dyDescent="0.25">
      <c r="A32" s="1"/>
      <c r="B32" s="67" t="s">
        <v>112</v>
      </c>
      <c r="C32" s="68"/>
      <c r="D32" s="69"/>
      <c r="E32" s="36">
        <v>3879832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7" t="s">
        <v>73</v>
      </c>
      <c r="C34" s="68"/>
      <c r="D34" s="69"/>
      <c r="E34" s="36">
        <v>28736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3908568</v>
      </c>
      <c r="F35" s="16" t="s">
        <v>4</v>
      </c>
      <c r="G35" s="33">
        <f>-E35</f>
        <v>-3908568</v>
      </c>
      <c r="H35" s="16" t="s">
        <v>4</v>
      </c>
      <c r="I35" s="1"/>
    </row>
    <row r="36" spans="1:9" x14ac:dyDescent="0.25">
      <c r="A36" s="1"/>
      <c r="B36" s="73" t="s">
        <v>50</v>
      </c>
      <c r="C36" s="74"/>
      <c r="D36" s="74"/>
      <c r="E36" s="74"/>
      <c r="F36" s="75"/>
      <c r="G36" s="34">
        <f>$G$9+$G$28+$G$30+$G$35</f>
        <v>-1036940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ht="30" customHeight="1" x14ac:dyDescent="0.25">
      <c r="A9" s="1"/>
      <c r="B9" s="67" t="s">
        <v>31</v>
      </c>
      <c r="C9" s="68"/>
      <c r="D9" s="69"/>
      <c r="E9" s="32">
        <f>'Fane 3. Grundlag'!G12</f>
        <v>4932199.2182132956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2221356.3453468396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46084.328838729743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4886114.8893745663</v>
      </c>
      <c r="F12" s="17" t="s">
        <v>4</v>
      </c>
      <c r="G12" s="33">
        <f>E12</f>
        <v>4886114.8893745663</v>
      </c>
      <c r="H12" s="17" t="s">
        <v>4</v>
      </c>
      <c r="I12" s="1"/>
    </row>
    <row r="13" spans="1:9" x14ac:dyDescent="0.25">
      <c r="A13" s="1"/>
      <c r="B13" s="73" t="s">
        <v>32</v>
      </c>
      <c r="C13" s="74"/>
      <c r="D13" s="74"/>
      <c r="E13" s="74"/>
      <c r="F13" s="74"/>
      <c r="G13" s="74"/>
      <c r="H13" s="75"/>
      <c r="I13" s="1"/>
    </row>
    <row r="14" spans="1:9" x14ac:dyDescent="0.25">
      <c r="A14" s="1"/>
      <c r="B14" s="70" t="s">
        <v>106</v>
      </c>
      <c r="C14" s="71"/>
      <c r="D14" s="72"/>
      <c r="E14" s="33">
        <f>'Fane 5. Hist. over el. underdæk'!G13</f>
        <v>58989.5</v>
      </c>
      <c r="F14" s="17" t="s">
        <v>4</v>
      </c>
      <c r="G14" s="33">
        <f>E14</f>
        <v>58989.5</v>
      </c>
      <c r="H14" s="17" t="s">
        <v>4</v>
      </c>
      <c r="I14" s="1"/>
    </row>
    <row r="15" spans="1:9" x14ac:dyDescent="0.25">
      <c r="A15" s="1"/>
      <c r="B15" s="73" t="s">
        <v>29</v>
      </c>
      <c r="C15" s="74"/>
      <c r="D15" s="74"/>
      <c r="E15" s="74"/>
      <c r="F15" s="74"/>
      <c r="G15" s="74"/>
      <c r="H15" s="75"/>
      <c r="I15" s="1"/>
    </row>
    <row r="16" spans="1:9" x14ac:dyDescent="0.25">
      <c r="A16" s="1"/>
      <c r="B16" s="67" t="s">
        <v>35</v>
      </c>
      <c r="C16" s="68"/>
      <c r="D16" s="69"/>
      <c r="E16" s="20">
        <f>'Fane 7. Korrektion af PL2015'!G11</f>
        <v>659917</v>
      </c>
      <c r="F16" s="7" t="s">
        <v>4</v>
      </c>
      <c r="G16" s="19"/>
      <c r="H16" s="9"/>
      <c r="I16" s="1"/>
    </row>
    <row r="17" spans="1:9" x14ac:dyDescent="0.25">
      <c r="A17" s="1"/>
      <c r="B17" s="67" t="s">
        <v>36</v>
      </c>
      <c r="C17" s="68"/>
      <c r="D17" s="69"/>
      <c r="E17" s="20">
        <f>'Fane 7. Korrektion af PL2015'!G17</f>
        <v>-86742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7" t="s">
        <v>99</v>
      </c>
      <c r="C18" s="68"/>
      <c r="D18" s="69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7" t="s">
        <v>37</v>
      </c>
      <c r="C19" s="68"/>
      <c r="D19" s="69"/>
      <c r="E19" s="20">
        <f>'Fane 7. Korrektion af PL2015'!G30</f>
        <v>-21667</v>
      </c>
      <c r="F19" s="7" t="s">
        <v>4</v>
      </c>
      <c r="G19" s="14"/>
      <c r="H19" s="15"/>
      <c r="I19" s="1"/>
    </row>
    <row r="20" spans="1:9" x14ac:dyDescent="0.25">
      <c r="A20" s="1"/>
      <c r="B20" s="70" t="s">
        <v>38</v>
      </c>
      <c r="C20" s="71"/>
      <c r="D20" s="72"/>
      <c r="E20" s="33">
        <f>SUM(E16:E19)</f>
        <v>551508</v>
      </c>
      <c r="F20" s="17" t="s">
        <v>4</v>
      </c>
      <c r="G20" s="33">
        <f>E20</f>
        <v>551508</v>
      </c>
      <c r="H20" s="17" t="s">
        <v>4</v>
      </c>
      <c r="I20" s="1"/>
    </row>
    <row r="21" spans="1:9" x14ac:dyDescent="0.25">
      <c r="A21" s="1"/>
      <c r="B21" s="73" t="s">
        <v>33</v>
      </c>
      <c r="C21" s="74"/>
      <c r="D21" s="74"/>
      <c r="E21" s="74"/>
      <c r="F21" s="74"/>
      <c r="G21" s="74"/>
      <c r="H21" s="75"/>
      <c r="I21" s="1"/>
    </row>
    <row r="22" spans="1:9" x14ac:dyDescent="0.25">
      <c r="A22" s="1"/>
      <c r="B22" s="70" t="s">
        <v>34</v>
      </c>
      <c r="C22" s="71"/>
      <c r="D22" s="72"/>
      <c r="E22" s="33">
        <f>'Fane 8. Kontrol af PL2015'!G36</f>
        <v>-1036940</v>
      </c>
      <c r="F22" s="17" t="s">
        <v>4</v>
      </c>
      <c r="G22" s="33">
        <f>E22</f>
        <v>-1036940</v>
      </c>
      <c r="H22" s="17" t="s">
        <v>4</v>
      </c>
      <c r="I22" s="1"/>
    </row>
    <row r="23" spans="1:9" x14ac:dyDescent="0.25">
      <c r="A23" s="1"/>
      <c r="B23" s="73" t="s">
        <v>39</v>
      </c>
      <c r="C23" s="74"/>
      <c r="D23" s="74"/>
      <c r="E23" s="74"/>
      <c r="F23" s="75"/>
      <c r="G23" s="34">
        <f>G12+G14+G20+G22</f>
        <v>4459672.3893745663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8:H8"/>
    <mergeCell ref="B16:D16"/>
    <mergeCell ref="B20:D20"/>
    <mergeCell ref="B18:D18"/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40</v>
      </c>
      <c r="C9" s="68"/>
      <c r="D9" s="69"/>
      <c r="E9" s="35">
        <f>'Fane 2.1. Økonomisk ramme 2017'!$E$9-'Fane 2.1. Økonomisk ramme 2017'!$E$11</f>
        <v>4886114.8893745663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2221356.3453468396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62053.659095056988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45876.216618126942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4902292.3318514964</v>
      </c>
      <c r="F13" s="17" t="s">
        <v>4</v>
      </c>
      <c r="G13" s="33">
        <f>E13</f>
        <v>4902292.3318514964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underdæk'!$G$12&gt;1,'Fane 5. Hist. over el. underdæk'!$G$13,0)</f>
        <v>58989.5</v>
      </c>
      <c r="F15" s="17" t="s">
        <v>4</v>
      </c>
      <c r="G15" s="33">
        <f>E15</f>
        <v>58989.5</v>
      </c>
      <c r="H15" s="17" t="s">
        <v>4</v>
      </c>
      <c r="I15" s="1"/>
    </row>
    <row r="16" spans="1:9" x14ac:dyDescent="0.25">
      <c r="A16" s="1"/>
      <c r="B16" s="73" t="s">
        <v>42</v>
      </c>
      <c r="C16" s="74"/>
      <c r="D16" s="74"/>
      <c r="E16" s="74"/>
      <c r="F16" s="75"/>
      <c r="G16" s="34">
        <f>G13+G15</f>
        <v>4961281.8318514964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44</v>
      </c>
      <c r="C9" s="68"/>
      <c r="D9" s="69"/>
      <c r="E9" s="35">
        <f>'Fane 2.2. Økonomisk ramme 2018'!$E$9*1.0127-'Fane 2.2. Økonomisk ramme 2018'!$E$12</f>
        <v>4902292.3318514954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2249567.5709327445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62259.112614513986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45669.044211501125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4918882.4002545085</v>
      </c>
      <c r="F13" s="17" t="s">
        <v>4</v>
      </c>
      <c r="G13" s="33">
        <f>E13</f>
        <v>4918882.4002545085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underdæk'!$G$12&gt;2,'Fane 5. Hist. over el. underdæk'!$G$13,0)</f>
        <v>0</v>
      </c>
      <c r="F15" s="17" t="s">
        <v>4</v>
      </c>
      <c r="G15" s="33">
        <f>E15</f>
        <v>0</v>
      </c>
      <c r="H15" s="17" t="s">
        <v>4</v>
      </c>
      <c r="I15" s="1"/>
    </row>
    <row r="16" spans="1:9" x14ac:dyDescent="0.25">
      <c r="A16" s="1"/>
      <c r="B16" s="73" t="s">
        <v>45</v>
      </c>
      <c r="C16" s="74"/>
      <c r="D16" s="74"/>
      <c r="E16" s="74"/>
      <c r="F16" s="75"/>
      <c r="G16" s="34">
        <f>G13+G15</f>
        <v>4918882.4002545085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67" t="s">
        <v>46</v>
      </c>
      <c r="C9" s="68"/>
      <c r="D9" s="69"/>
      <c r="E9" s="35">
        <f>'Fane 2.3. Økonomisk ramme 2019'!$E$9*1.0127-'Fane 2.3. Økonomisk ramme 2019'!$E$12</f>
        <v>4918882.4002545075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2278137.0790835903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62469.806483232242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45462.807374746393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4935889.3993629934</v>
      </c>
      <c r="F13" s="17" t="s">
        <v>4</v>
      </c>
      <c r="G13" s="33">
        <f>E13</f>
        <v>4935889.3993629934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70" t="s">
        <v>106</v>
      </c>
      <c r="C15" s="71"/>
      <c r="D15" s="72"/>
      <c r="E15" s="37">
        <f>IF('Fane 5. Hist. over el. underdæk'!$G$12&gt;3,'Fane 5. Hist. over el. underdæk'!$G$13,0)</f>
        <v>0</v>
      </c>
      <c r="F15" s="17" t="s">
        <v>4</v>
      </c>
      <c r="G15" s="33">
        <f>E15</f>
        <v>0</v>
      </c>
      <c r="H15" s="17" t="s">
        <v>4</v>
      </c>
      <c r="I15" s="1"/>
    </row>
    <row r="16" spans="1:9" x14ac:dyDescent="0.25">
      <c r="A16" s="1"/>
      <c r="B16" s="73" t="s">
        <v>47</v>
      </c>
      <c r="C16" s="74"/>
      <c r="D16" s="74"/>
      <c r="E16" s="74"/>
      <c r="F16" s="75"/>
      <c r="G16" s="34">
        <f>G13+G15</f>
        <v>4935889.3993629934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48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1030466.0759378605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1680376.7969285953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2221356.3453468396</v>
      </c>
      <c r="H11" s="10" t="s">
        <v>4</v>
      </c>
      <c r="I11" s="1"/>
    </row>
    <row r="12" spans="1:9" x14ac:dyDescent="0.25">
      <c r="A12" s="1"/>
      <c r="B12" s="73" t="s">
        <v>48</v>
      </c>
      <c r="C12" s="74"/>
      <c r="D12" s="74"/>
      <c r="E12" s="74"/>
      <c r="F12" s="75"/>
      <c r="G12" s="34">
        <f>SUM(G9:G11)</f>
        <v>4932199.2182132956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113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104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2710842.8728664559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73" t="s">
        <v>28</v>
      </c>
      <c r="C11" s="74"/>
      <c r="D11" s="74"/>
      <c r="E11" s="74"/>
      <c r="F11" s="75"/>
      <c r="G11" s="34">
        <f>$G$9*$G$10/100</f>
        <v>46084.328838729743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114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105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460971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342992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117979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2</v>
      </c>
      <c r="H12" s="10" t="s">
        <v>4</v>
      </c>
      <c r="I12" s="1"/>
    </row>
    <row r="13" spans="1:9" x14ac:dyDescent="0.25">
      <c r="A13" s="1"/>
      <c r="B13" s="73" t="s">
        <v>76</v>
      </c>
      <c r="C13" s="74"/>
      <c r="D13" s="74"/>
      <c r="E13" s="74"/>
      <c r="F13" s="75"/>
      <c r="G13" s="34">
        <f>G11/G12</f>
        <v>58989.5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3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115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73" t="s">
        <v>6</v>
      </c>
      <c r="C8" s="74"/>
      <c r="D8" s="74"/>
      <c r="E8" s="74"/>
      <c r="F8" s="74"/>
      <c r="G8" s="75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/>
      <c r="D10" s="39"/>
      <c r="E10" s="36"/>
      <c r="F10" s="20"/>
      <c r="G10" s="10" t="s">
        <v>4</v>
      </c>
      <c r="H10" s="1"/>
    </row>
    <row r="11" spans="1:8" x14ac:dyDescent="0.25">
      <c r="A11" s="1"/>
      <c r="B11" s="73" t="s">
        <v>5</v>
      </c>
      <c r="C11" s="74"/>
      <c r="D11" s="74"/>
      <c r="E11" s="75"/>
      <c r="F11" s="34">
        <f>SUM(F10:F10)</f>
        <v>0</v>
      </c>
      <c r="G11" s="18" t="s">
        <v>4</v>
      </c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</sheetData>
  <sheetProtection password="C6BD" sheet="1" objects="1" scenarios="1"/>
  <mergeCells count="4">
    <mergeCell ref="B11:E1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Bredvig (KFST)</cp:lastModifiedBy>
  <cp:lastPrinted>2016-06-14T12:57:30Z</cp:lastPrinted>
  <dcterms:created xsi:type="dcterms:W3CDTF">2016-06-02T08:51:18Z</dcterms:created>
  <dcterms:modified xsi:type="dcterms:W3CDTF">2016-11-15T12:57:56Z</dcterms:modified>
</cp:coreProperties>
</file>