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395" yWindow="105" windowWidth="20100" windowHeight="109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E35" i="13" l="1"/>
  <c r="G35" i="13" s="1"/>
  <c r="E27" i="13"/>
  <c r="E19" i="13"/>
  <c r="E15" i="13"/>
  <c r="G11" i="12"/>
  <c r="E16" i="2" s="1"/>
  <c r="G23" i="12"/>
  <c r="G17" i="12"/>
  <c r="E17" i="2" s="1"/>
  <c r="F11" i="11"/>
  <c r="F12" i="11"/>
  <c r="F17" i="11"/>
  <c r="F18" i="11"/>
  <c r="F19" i="11"/>
  <c r="F10" i="11"/>
  <c r="F20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<sst xmlns="http://schemas.openxmlformats.org/spreadsheetml/2006/main" count="262" uniqueCount="127">
  <si>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</si>
  <si>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</si>
  <si>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</si>
  <si>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</si>
  <si>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</si>
  <si>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</si>
  <si>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</si>
  <si>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</si>
  <si>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</si>
  <si>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</si>
  <si>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</si>
  <si>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</si>
  <si>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</si>
  <si>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</si>
  <si>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</si>
  <si>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</si>
  <si>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</si>
  <si>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</si>
  <si>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</si>
  <si>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</si>
  <si>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</si>
  <si>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</si>
  <si>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</si>
  <si>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</si>
  <si>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</si>
  <si>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</si>
  <si>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</si>
  <si>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</si>
  <si>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</si>
  <si>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</si>
  <si>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</si>
  <si>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</si>
  <si>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</si>
  <si>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</si>
  <si>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</si>
  <si>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</si>
  <si>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</si>
  <si>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</si>
  <si>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</si>
  <si>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</si>
  <si>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</si>
  <si>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</si>
  <si>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</si>
  <si>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</si>
  <si>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</si>
  <si>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</si>
  <si>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</si>
  <si>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</si>
  <si>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</si>
  <si>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</si>
  <si>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</si>
  <si>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</si>
  <si>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</si>
  <si>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</si>
  <si>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</si>
  <si>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</si>
  <si>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</si>
  <si>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</si>
  <si>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</si>
  <si>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</si>
  <si>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</si>
  <si>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</si>
  <si>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</si>
  <si>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</si>
  <si>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</si>
  <si>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</si>
  <si>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</si>
  <si>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</si>
  <si>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</si>
  <si>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</si>
  <si>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</si>
  <si>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</si>
  <si>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</si>
  <si>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</si>
  <si>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</si>
  <si>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</si>
  <si>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</si>
  <si>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</si>
  <si>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</si>
  <si>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</si>
  <si>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</si>
  <si>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</si>
  <si>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</si>
  <si>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</si>
  <si>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</si>
  <si>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</si>
  <si>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</si>
  <si>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</si>
  <si>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</si>
  <si>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</si>
  <si>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</si>
  <si>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</si>
  <si>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</si>
  <si>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</si>
  <si>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</si>
  <si>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</si>
  <si>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</si>
  <si>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</si>
  <si>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</si>
  <si>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</si>
  <si>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</si>
  <si>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</si>
  <si>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</si>
  <si>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</si>
  <si>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</si>
  <si>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</si>
  <si>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</si>
  <si>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</si>
  <si>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</si>
  <si>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</si>
  <si>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&gt; Ø110 mm</t>
  </si>
  <si>
    <t>Ø 50mm &lt; Ledningsnet ≤ Ø110 mm</t>
  </si>
  <si>
    <t>Administrationbygninger</t>
  </si>
  <si>
    <t>Ventiler på ledningsnet ≤ Ø50 mm</t>
  </si>
  <si>
    <t>Boring (inkl. etablering, forerør, filter og prøvepumpning)</t>
  </si>
  <si>
    <t>Elanlæg - vandværk</t>
  </si>
  <si>
    <t>Printer</t>
  </si>
  <si>
    <t>Plæneklipper</t>
  </si>
  <si>
    <t>Køretøjer, små lastvogne (&lt; 3.500 kg.)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</si>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</sst>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>
      <protection locked="0"/>
    </xf>
    <xf numFmtId="164" fontId="8" fillId="4" borderId="1" xfId="1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5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2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3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109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6" t="s">
        <v>26</v>
      </c>
      <c r="E13" s="67"/>
      <c r="F13" s="67"/>
      <c r="G13" s="68"/>
      <c r="H13" s="1"/>
      <c r="I13" s="1"/>
    </row>
    <row r="14" spans="1:9" x14ac:dyDescent="0.25">
      <c r="A14" s="1"/>
      <c r="B14" s="1"/>
      <c r="C14" s="3" t="s">
        <v>14</v>
      </c>
      <c r="D14" s="54" t="s">
        <v>23</v>
      </c>
      <c r="E14" s="55"/>
      <c r="F14" s="55"/>
      <c r="G14" s="56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4" t="s">
        <v>25</v>
      </c>
      <c r="E16" s="55"/>
      <c r="F16" s="55"/>
      <c r="G16" s="56"/>
      <c r="H16" s="1"/>
      <c r="I16" s="1"/>
    </row>
    <row r="17" spans="1:9" x14ac:dyDescent="0.25">
      <c r="A17" s="1"/>
      <c r="B17" s="1"/>
      <c r="C17" s="3" t="s">
        <v>17</v>
      </c>
      <c r="D17" s="57" t="s">
        <v>27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28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63" t="s">
        <v>32</v>
      </c>
      <c r="E19" s="64"/>
      <c r="F19" s="64"/>
      <c r="G19" s="65"/>
      <c r="H19" s="1"/>
      <c r="I19" s="1"/>
    </row>
    <row r="20" spans="1:9" x14ac:dyDescent="0.25">
      <c r="A20" s="1"/>
      <c r="B20" s="1"/>
      <c r="C20" s="3" t="s">
        <v>20</v>
      </c>
      <c r="D20" s="46" t="s">
        <v>6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6" t="s">
        <v>29</v>
      </c>
      <c r="E21" s="47"/>
      <c r="F21" s="47"/>
      <c r="G21" s="48"/>
      <c r="H21" s="1"/>
      <c r="I21" s="1"/>
    </row>
    <row r="22" spans="1:9" x14ac:dyDescent="0.25">
      <c r="A22" s="1"/>
      <c r="B22" s="1"/>
      <c r="C22" s="3" t="s">
        <v>22</v>
      </c>
      <c r="D22" s="49" t="s">
        <v>30</v>
      </c>
      <c r="E22" s="50"/>
      <c r="F22" s="50"/>
      <c r="G22" s="5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0" t="s">
        <v>124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1" t="s">
        <v>93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76" t="s">
        <v>81</v>
      </c>
      <c r="C9" s="77"/>
      <c r="D9" s="77"/>
      <c r="E9" s="77"/>
      <c r="F9" s="78"/>
      <c r="G9" s="36">
        <v>3336105</v>
      </c>
      <c r="H9" s="10" t="s">
        <v>4</v>
      </c>
      <c r="I9" s="1"/>
    </row>
    <row r="10" spans="1:9" x14ac:dyDescent="0.25">
      <c r="A10" s="1"/>
      <c r="B10" s="76" t="s">
        <v>82</v>
      </c>
      <c r="C10" s="77"/>
      <c r="D10" s="77"/>
      <c r="E10" s="77"/>
      <c r="F10" s="78"/>
      <c r="G10" s="36">
        <v>3364800</v>
      </c>
      <c r="H10" s="10" t="s">
        <v>4</v>
      </c>
      <c r="I10" s="1"/>
    </row>
    <row r="11" spans="1:9" x14ac:dyDescent="0.25">
      <c r="A11" s="1"/>
      <c r="B11" s="83" t="s">
        <v>83</v>
      </c>
      <c r="C11" s="84"/>
      <c r="D11" s="84"/>
      <c r="E11" s="84"/>
      <c r="F11" s="85"/>
      <c r="G11" s="34">
        <f>G9-G10</f>
        <v>-28695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1" t="s">
        <v>84</v>
      </c>
      <c r="C14" s="92"/>
      <c r="D14" s="92"/>
      <c r="E14" s="92"/>
      <c r="F14" s="92"/>
      <c r="G14" s="92"/>
      <c r="H14" s="93"/>
      <c r="I14" s="1"/>
    </row>
    <row r="15" spans="1:9" x14ac:dyDescent="0.25">
      <c r="A15" s="1"/>
      <c r="B15" s="76" t="s">
        <v>85</v>
      </c>
      <c r="C15" s="77"/>
      <c r="D15" s="77"/>
      <c r="E15" s="77"/>
      <c r="F15" s="78"/>
      <c r="G15" s="36">
        <v>1409</v>
      </c>
      <c r="H15" s="10" t="s">
        <v>4</v>
      </c>
      <c r="I15" s="1"/>
    </row>
    <row r="16" spans="1:9" x14ac:dyDescent="0.25">
      <c r="A16" s="1"/>
      <c r="B16" s="76" t="s">
        <v>86</v>
      </c>
      <c r="C16" s="77"/>
      <c r="D16" s="77"/>
      <c r="E16" s="77"/>
      <c r="F16" s="78"/>
      <c r="G16" s="36">
        <v>-95000</v>
      </c>
      <c r="H16" s="10" t="s">
        <v>4</v>
      </c>
      <c r="I16" s="1"/>
    </row>
    <row r="17" spans="1:9" x14ac:dyDescent="0.25">
      <c r="A17" s="1"/>
      <c r="B17" s="83" t="s">
        <v>87</v>
      </c>
      <c r="C17" s="84"/>
      <c r="D17" s="84"/>
      <c r="E17" s="84"/>
      <c r="F17" s="85"/>
      <c r="G17" s="34">
        <f>G15-G16</f>
        <v>96409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1" t="s">
        <v>94</v>
      </c>
      <c r="C20" s="92"/>
      <c r="D20" s="92"/>
      <c r="E20" s="92"/>
      <c r="F20" s="92"/>
      <c r="G20" s="92"/>
      <c r="H20" s="93"/>
      <c r="I20" s="1"/>
    </row>
    <row r="21" spans="1:9" x14ac:dyDescent="0.25">
      <c r="A21" s="1"/>
      <c r="B21" s="76" t="s">
        <v>95</v>
      </c>
      <c r="C21" s="77"/>
      <c r="D21" s="77"/>
      <c r="E21" s="77"/>
      <c r="F21" s="78"/>
      <c r="G21" s="36">
        <v>500000</v>
      </c>
      <c r="H21" s="10" t="s">
        <v>4</v>
      </c>
      <c r="I21" s="1"/>
    </row>
    <row r="22" spans="1:9" x14ac:dyDescent="0.25">
      <c r="A22" s="1"/>
      <c r="B22" s="76" t="s">
        <v>97</v>
      </c>
      <c r="C22" s="77"/>
      <c r="D22" s="77"/>
      <c r="E22" s="77"/>
      <c r="F22" s="78"/>
      <c r="G22" s="36">
        <v>500000</v>
      </c>
      <c r="H22" s="10" t="s">
        <v>4</v>
      </c>
      <c r="I22" s="1"/>
    </row>
    <row r="23" spans="1:9" x14ac:dyDescent="0.25">
      <c r="A23" s="1"/>
      <c r="B23" s="83" t="s">
        <v>96</v>
      </c>
      <c r="C23" s="84"/>
      <c r="D23" s="84"/>
      <c r="E23" s="84"/>
      <c r="F23" s="8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1" t="s">
        <v>88</v>
      </c>
      <c r="C26" s="92"/>
      <c r="D26" s="92"/>
      <c r="E26" s="92"/>
      <c r="F26" s="92"/>
      <c r="G26" s="92"/>
      <c r="H26" s="93"/>
      <c r="I26" s="1"/>
    </row>
    <row r="27" spans="1:9" x14ac:dyDescent="0.25">
      <c r="A27" s="1"/>
      <c r="B27" s="76" t="s">
        <v>89</v>
      </c>
      <c r="C27" s="77"/>
      <c r="D27" s="77"/>
      <c r="E27" s="77"/>
      <c r="F27" s="78"/>
      <c r="G27" s="36">
        <v>128667</v>
      </c>
      <c r="H27" s="10" t="s">
        <v>4</v>
      </c>
      <c r="I27" s="1"/>
    </row>
    <row r="28" spans="1:9" x14ac:dyDescent="0.25">
      <c r="A28" s="1"/>
      <c r="B28" s="76" t="s">
        <v>90</v>
      </c>
      <c r="C28" s="77"/>
      <c r="D28" s="77"/>
      <c r="E28" s="77"/>
      <c r="F28" s="78"/>
      <c r="G28" s="36">
        <v>88667</v>
      </c>
      <c r="H28" s="10" t="s">
        <v>4</v>
      </c>
      <c r="I28" s="1"/>
    </row>
    <row r="29" spans="1:9" x14ac:dyDescent="0.25">
      <c r="A29" s="1"/>
      <c r="B29" s="76" t="s">
        <v>91</v>
      </c>
      <c r="C29" s="77"/>
      <c r="D29" s="77"/>
      <c r="E29" s="77"/>
      <c r="F29" s="78"/>
      <c r="G29" s="20">
        <f>'Fane 6. Gen. inv. i 2015'!F20</f>
        <v>156547.71333333332</v>
      </c>
      <c r="H29" s="10" t="s">
        <v>4</v>
      </c>
      <c r="I29" s="1"/>
    </row>
    <row r="30" spans="1:9" x14ac:dyDescent="0.25">
      <c r="A30" s="1"/>
      <c r="B30" s="83" t="s">
        <v>88</v>
      </c>
      <c r="C30" s="84"/>
      <c r="D30" s="84"/>
      <c r="E30" s="84"/>
      <c r="F30" s="85"/>
      <c r="G30" s="34">
        <f>G29-G27+G29-G28</f>
        <v>95761.426666666637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1.7109375" bestFit="1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51</v>
      </c>
      <c r="C9" s="81"/>
      <c r="D9" s="81"/>
      <c r="E9" s="81"/>
      <c r="F9" s="82"/>
      <c r="G9" s="41">
        <v>10330717</v>
      </c>
      <c r="H9" s="16" t="s">
        <v>4</v>
      </c>
      <c r="I9" s="1"/>
    </row>
    <row r="10" spans="1:9" x14ac:dyDescent="0.25">
      <c r="A10" s="1"/>
      <c r="B10" s="83" t="s">
        <v>52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6" t="s">
        <v>53</v>
      </c>
      <c r="C11" s="77"/>
      <c r="D11" s="78"/>
      <c r="E11" s="40">
        <v>2148145.6318343668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54</v>
      </c>
      <c r="C12" s="77"/>
      <c r="D12" s="78"/>
      <c r="E12" s="36">
        <v>321713.85333333333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55</v>
      </c>
      <c r="C13" s="77"/>
      <c r="D13" s="78"/>
      <c r="E13" s="36">
        <v>-90785.653333333321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56</v>
      </c>
      <c r="C14" s="77"/>
      <c r="D14" s="78"/>
      <c r="E14" s="36">
        <v>294800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57</v>
      </c>
      <c r="C15" s="81"/>
      <c r="D15" s="82"/>
      <c r="E15" s="33">
        <f>SUM(E11:E14)</f>
        <v>2673873.831834367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58</v>
      </c>
      <c r="C16" s="77"/>
      <c r="D16" s="78"/>
      <c r="E16" s="36">
        <v>118700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59</v>
      </c>
      <c r="C17" s="77"/>
      <c r="D17" s="78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60</v>
      </c>
      <c r="C18" s="77"/>
      <c r="D18" s="78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61</v>
      </c>
      <c r="C19" s="81"/>
      <c r="D19" s="82"/>
      <c r="E19" s="33">
        <f>SUM(E16:E18)</f>
        <v>118700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-850489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64</v>
      </c>
      <c r="C22" s="77"/>
      <c r="D22" s="78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65</v>
      </c>
      <c r="C23" s="77"/>
      <c r="D23" s="78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69</v>
      </c>
      <c r="C27" s="81"/>
      <c r="D27" s="82"/>
      <c r="E27" s="33">
        <f>SUM(E20:E26)</f>
        <v>-850489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70</v>
      </c>
      <c r="C28" s="81"/>
      <c r="D28" s="82"/>
      <c r="E28" s="33">
        <f>E15+E19+E27</f>
        <v>1942084.831834367</v>
      </c>
      <c r="F28" s="16" t="s">
        <v>4</v>
      </c>
      <c r="G28" s="31">
        <f>IF(E28&lt;0,0,-E28)</f>
        <v>-1942084.831834367</v>
      </c>
      <c r="H28" s="16" t="s">
        <v>4</v>
      </c>
      <c r="I28" s="1"/>
    </row>
    <row r="29" spans="1:9" x14ac:dyDescent="0.25">
      <c r="A29" s="1"/>
      <c r="B29" s="83" t="s">
        <v>71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71</v>
      </c>
      <c r="C30" s="81"/>
      <c r="D30" s="82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4" t="s">
        <v>119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120</v>
      </c>
      <c r="C32" s="71"/>
      <c r="D32" s="72"/>
      <c r="E32" s="36">
        <v>8352009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72</v>
      </c>
      <c r="C33" s="77"/>
      <c r="D33" s="78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36491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74</v>
      </c>
      <c r="C35" s="81"/>
      <c r="D35" s="82"/>
      <c r="E35" s="33">
        <f>SUM(E32:E34)</f>
        <v>8388500</v>
      </c>
      <c r="F35" s="16" t="s">
        <v>4</v>
      </c>
      <c r="G35" s="33">
        <f>-E35</f>
        <v>-8388500</v>
      </c>
      <c r="H35" s="16" t="s">
        <v>4</v>
      </c>
      <c r="I35" s="1"/>
    </row>
    <row r="36" spans="1:9" x14ac:dyDescent="0.25">
      <c r="A36" s="1"/>
      <c r="B36" s="83" t="s">
        <v>50</v>
      </c>
      <c r="C36" s="84"/>
      <c r="D36" s="84"/>
      <c r="E36" s="84"/>
      <c r="F36" s="85"/>
      <c r="G36" s="34">
        <f>$G$9+$G$28+$G$30+$G$35</f>
        <v>132.16816563345492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conditionalFormatting sqref="E11">
    <cfRule type="containsBlanks" dxfId="2" priority="1">
      <formula>LEN(TRIM(E11))=0</formula>
    </cfRule>
    <cfRule type="cellIs" dxfId="1" priority="2" operator="equal">
      <formula>""" """</formula>
    </cfRule>
    <cfRule type="cellIs" dxfId="0" priority="3" operator="equal">
      <formula>""""""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9738506.6922876183</v>
      </c>
      <c r="F9" s="7" t="s">
        <v>4</v>
      </c>
      <c r="G9" s="8"/>
      <c r="H9" s="9"/>
      <c r="I9" s="1"/>
    </row>
    <row r="10" spans="1:9" x14ac:dyDescent="0.25">
      <c r="A10" s="1"/>
      <c r="B10" s="79" t="s">
        <v>98</v>
      </c>
      <c r="C10" s="77"/>
      <c r="D10" s="78"/>
      <c r="E10" s="20">
        <f>'Fane 3. Grundlag'!G11</f>
        <v>3329447.8221588996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28</v>
      </c>
      <c r="C11" s="77"/>
      <c r="D11" s="78"/>
      <c r="E11" s="20">
        <f>'Fane 4. Generelt eff.krav'!G11</f>
        <v>108954.00079218822</v>
      </c>
      <c r="F11" s="7" t="s">
        <v>4</v>
      </c>
      <c r="G11" s="14"/>
      <c r="H11" s="15"/>
      <c r="I11" s="1"/>
    </row>
    <row r="12" spans="1:9" x14ac:dyDescent="0.25">
      <c r="A12" s="1"/>
      <c r="B12" s="80" t="s">
        <v>43</v>
      </c>
      <c r="C12" s="81"/>
      <c r="D12" s="82"/>
      <c r="E12" s="33">
        <f>$E$9-$E$11</f>
        <v>9629552.6914954297</v>
      </c>
      <c r="F12" s="17" t="s">
        <v>4</v>
      </c>
      <c r="G12" s="33">
        <f>E12</f>
        <v>9629552.6914954297</v>
      </c>
      <c r="H12" s="17" t="s">
        <v>4</v>
      </c>
      <c r="I12" s="1"/>
    </row>
    <row r="13" spans="1:9" x14ac:dyDescent="0.25">
      <c r="A13" s="1"/>
      <c r="B13" s="83" t="s">
        <v>32</v>
      </c>
      <c r="C13" s="84"/>
      <c r="D13" s="84"/>
      <c r="E13" s="84"/>
      <c r="F13" s="84"/>
      <c r="G13" s="84"/>
      <c r="H13" s="85"/>
      <c r="I13" s="1"/>
    </row>
    <row r="14" spans="1:9" x14ac:dyDescent="0.25">
      <c r="A14" s="1"/>
      <c r="B14" s="73" t="s">
        <v>106</v>
      </c>
      <c r="C14" s="74"/>
      <c r="D14" s="75"/>
      <c r="E14" s="33">
        <f>'Fane 5. Hist. over el. underdæk'!G13</f>
        <v>-428021.5</v>
      </c>
      <c r="F14" s="17" t="s">
        <v>4</v>
      </c>
      <c r="G14" s="33">
        <f>E14</f>
        <v>-428021.5</v>
      </c>
      <c r="H14" s="17" t="s">
        <v>4</v>
      </c>
      <c r="I14" s="1"/>
    </row>
    <row r="15" spans="1:9" x14ac:dyDescent="0.25">
      <c r="A15" s="1"/>
      <c r="B15" s="83" t="s">
        <v>29</v>
      </c>
      <c r="C15" s="84"/>
      <c r="D15" s="84"/>
      <c r="E15" s="84"/>
      <c r="F15" s="84"/>
      <c r="G15" s="84"/>
      <c r="H15" s="8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-28695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96409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95761.426666666637</v>
      </c>
      <c r="F19" s="7" t="s">
        <v>4</v>
      </c>
      <c r="G19" s="14"/>
      <c r="H19" s="15"/>
      <c r="I19" s="1"/>
    </row>
    <row r="20" spans="1:9" x14ac:dyDescent="0.25">
      <c r="A20" s="1"/>
      <c r="B20" s="73" t="s">
        <v>38</v>
      </c>
      <c r="C20" s="74"/>
      <c r="D20" s="75"/>
      <c r="E20" s="33">
        <f>SUM(E16:E19)</f>
        <v>163475.42666666664</v>
      </c>
      <c r="F20" s="17" t="s">
        <v>4</v>
      </c>
      <c r="G20" s="33">
        <f>E20</f>
        <v>163475.42666666664</v>
      </c>
      <c r="H20" s="17" t="s">
        <v>4</v>
      </c>
      <c r="I20" s="1"/>
    </row>
    <row r="21" spans="1:9" x14ac:dyDescent="0.25">
      <c r="A21" s="1"/>
      <c r="B21" s="83" t="s">
        <v>33</v>
      </c>
      <c r="C21" s="84"/>
      <c r="D21" s="84"/>
      <c r="E21" s="84"/>
      <c r="F21" s="84"/>
      <c r="G21" s="84"/>
      <c r="H21" s="85"/>
      <c r="I21" s="1"/>
    </row>
    <row r="22" spans="1:9" x14ac:dyDescent="0.25">
      <c r="A22" s="1"/>
      <c r="B22" s="73" t="s">
        <v>34</v>
      </c>
      <c r="C22" s="74"/>
      <c r="D22" s="75"/>
      <c r="E22" s="33">
        <f>'Fane 8. Kontrol af PL2015'!G36</f>
        <v>132.16816563345492</v>
      </c>
      <c r="F22" s="17" t="s">
        <v>4</v>
      </c>
      <c r="G22" s="33">
        <f>E22</f>
        <v>132.16816563345492</v>
      </c>
      <c r="H22" s="17" t="s">
        <v>4</v>
      </c>
      <c r="I22" s="1"/>
    </row>
    <row r="23" spans="1:9" x14ac:dyDescent="0.25">
      <c r="A23" s="1"/>
      <c r="B23" s="83" t="s">
        <v>39</v>
      </c>
      <c r="C23" s="84"/>
      <c r="D23" s="84"/>
      <c r="E23" s="84"/>
      <c r="F23" s="85"/>
      <c r="G23" s="34">
        <f>G12+G14+G20+G22</f>
        <v>9365138.786327729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9629552.6914954297</v>
      </c>
      <c r="F9" s="7" t="s">
        <v>4</v>
      </c>
      <c r="G9" s="8"/>
      <c r="H9" s="9"/>
      <c r="I9" s="1"/>
    </row>
    <row r="10" spans="1:9" x14ac:dyDescent="0.25">
      <c r="A10" s="1"/>
      <c r="B10" s="79" t="s">
        <v>98</v>
      </c>
      <c r="C10" s="77"/>
      <c r="D10" s="78"/>
      <c r="E10" s="36">
        <f>'Fane 2.1. Økonomisk ramme 2017'!$E$10</f>
        <v>3329447.8221588996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41</v>
      </c>
      <c r="C11" s="77"/>
      <c r="D11" s="78"/>
      <c r="E11" s="36">
        <f>$E$9*0.0127</f>
        <v>122295.31918199196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108461.97542001079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3">
        <f>$E$9+$E$11-$E$12</f>
        <v>9643386.0352574103</v>
      </c>
      <c r="F13" s="17" t="s">
        <v>4</v>
      </c>
      <c r="G13" s="33">
        <f>E13</f>
        <v>9643386.0352574103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underdæk'!$G$12&gt;1,'Fane 5. Hist. over el. underdæk'!$G$13,0)</f>
        <v>-428021.5</v>
      </c>
      <c r="F15" s="17" t="s">
        <v>4</v>
      </c>
      <c r="G15" s="33">
        <f>E15</f>
        <v>-428021.5</v>
      </c>
      <c r="H15" s="17" t="s">
        <v>4</v>
      </c>
      <c r="I15" s="1"/>
    </row>
    <row r="16" spans="1:9" x14ac:dyDescent="0.25">
      <c r="A16" s="1"/>
      <c r="B16" s="83" t="s">
        <v>42</v>
      </c>
      <c r="C16" s="84"/>
      <c r="D16" s="84"/>
      <c r="E16" s="84"/>
      <c r="F16" s="85"/>
      <c r="G16" s="34">
        <f>G13+G15</f>
        <v>9215364.5352574103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9643386.0352574103</v>
      </c>
      <c r="F9" s="7" t="s">
        <v>4</v>
      </c>
      <c r="G9" s="8"/>
      <c r="H9" s="9"/>
      <c r="I9" s="1"/>
    </row>
    <row r="10" spans="1:9" x14ac:dyDescent="0.25">
      <c r="A10" s="1"/>
      <c r="B10" s="79" t="s">
        <v>98</v>
      </c>
      <c r="C10" s="77"/>
      <c r="D10" s="78"/>
      <c r="E10" s="36">
        <f>'Fane 2.2. Økonomisk ramme 2018'!$E$10*1.0127</f>
        <v>3371731.8095003176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41</v>
      </c>
      <c r="C11" s="77"/>
      <c r="D11" s="78"/>
      <c r="E11" s="36">
        <f>$E$9*0.0127</f>
        <v>122471.0026477691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107972.17198521152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3">
        <f>$E$9+$E$11-$E$12</f>
        <v>9657884.8659199681</v>
      </c>
      <c r="F13" s="17" t="s">
        <v>4</v>
      </c>
      <c r="G13" s="33">
        <f>E13</f>
        <v>9657884.8659199681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underdæk'!$G$12&gt;2,'Fane 5. Hist. over el. underdæk'!$G$13,0)</f>
        <v>-428021.5</v>
      </c>
      <c r="F15" s="17" t="s">
        <v>4</v>
      </c>
      <c r="G15" s="33">
        <f>E15</f>
        <v>-428021.5</v>
      </c>
      <c r="H15" s="17" t="s">
        <v>4</v>
      </c>
      <c r="I15" s="1"/>
    </row>
    <row r="16" spans="1:9" x14ac:dyDescent="0.25">
      <c r="A16" s="1"/>
      <c r="B16" s="83" t="s">
        <v>45</v>
      </c>
      <c r="C16" s="84"/>
      <c r="D16" s="84"/>
      <c r="E16" s="84"/>
      <c r="F16" s="85"/>
      <c r="G16" s="34">
        <f>G13+G15</f>
        <v>9229863.3659199681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9657884.8659199681</v>
      </c>
      <c r="F9" s="7" t="s">
        <v>4</v>
      </c>
      <c r="G9" s="8"/>
      <c r="H9" s="9"/>
      <c r="I9" s="1"/>
    </row>
    <row r="10" spans="1:9" x14ac:dyDescent="0.25">
      <c r="A10" s="1"/>
      <c r="B10" s="79" t="s">
        <v>98</v>
      </c>
      <c r="C10" s="77"/>
      <c r="D10" s="78"/>
      <c r="E10" s="36">
        <f>'Fane 2.3. Økonomisk ramme 2019'!$E$10*1.0127</f>
        <v>3414552.8034809711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41</v>
      </c>
      <c r="C11" s="77"/>
      <c r="D11" s="78"/>
      <c r="E11" s="36">
        <f>$E$9*0.0127</f>
        <v>122655.13779718359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107484.58045374352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3">
        <f>$E$9+$E$11-$E$12</f>
        <v>9673055.4232634082</v>
      </c>
      <c r="F13" s="17" t="s">
        <v>4</v>
      </c>
      <c r="G13" s="33">
        <f>E13</f>
        <v>9673055.4232634082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underdæk'!$G$12&gt;3,'Fane 5. Hist. over el. underdæk'!$G$13,0)</f>
        <v>-428021.5</v>
      </c>
      <c r="F15" s="17" t="s">
        <v>4</v>
      </c>
      <c r="G15" s="33">
        <f>E15</f>
        <v>-428021.5</v>
      </c>
      <c r="H15" s="17" t="s">
        <v>4</v>
      </c>
      <c r="I15" s="1"/>
    </row>
    <row r="16" spans="1:9" x14ac:dyDescent="0.25">
      <c r="A16" s="1"/>
      <c r="B16" s="83" t="s">
        <v>47</v>
      </c>
      <c r="C16" s="84"/>
      <c r="D16" s="84"/>
      <c r="E16" s="84"/>
      <c r="F16" s="85"/>
      <c r="G16" s="34">
        <f>G13+G15</f>
        <v>9245033.9232634082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6" t="s">
        <v>100</v>
      </c>
      <c r="C9" s="77"/>
      <c r="D9" s="77"/>
      <c r="E9" s="77"/>
      <c r="F9" s="78"/>
      <c r="G9" s="36">
        <v>3377443.956082134</v>
      </c>
      <c r="H9" s="10" t="s">
        <v>4</v>
      </c>
      <c r="I9" s="1"/>
    </row>
    <row r="10" spans="1:9" x14ac:dyDescent="0.25">
      <c r="A10" s="1"/>
      <c r="B10" s="76" t="s">
        <v>101</v>
      </c>
      <c r="C10" s="77"/>
      <c r="D10" s="77"/>
      <c r="E10" s="77"/>
      <c r="F10" s="78"/>
      <c r="G10" s="36">
        <v>3031614.9140465851</v>
      </c>
      <c r="H10" s="10" t="s">
        <v>4</v>
      </c>
      <c r="I10" s="1"/>
    </row>
    <row r="11" spans="1:9" x14ac:dyDescent="0.25">
      <c r="A11" s="1"/>
      <c r="B11" s="76" t="s">
        <v>102</v>
      </c>
      <c r="C11" s="77"/>
      <c r="D11" s="77"/>
      <c r="E11" s="77"/>
      <c r="F11" s="78"/>
      <c r="G11" s="36">
        <v>3329447.8221588996</v>
      </c>
      <c r="H11" s="10" t="s">
        <v>4</v>
      </c>
      <c r="I11" s="1"/>
    </row>
    <row r="12" spans="1:9" x14ac:dyDescent="0.25">
      <c r="A12" s="1"/>
      <c r="B12" s="83" t="s">
        <v>48</v>
      </c>
      <c r="C12" s="84"/>
      <c r="D12" s="84"/>
      <c r="E12" s="84"/>
      <c r="F12" s="85"/>
      <c r="G12" s="34">
        <f>SUM(G9:G11)</f>
        <v>9738506.6922876183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121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6" t="s">
        <v>108</v>
      </c>
      <c r="C9" s="77"/>
      <c r="D9" s="77"/>
      <c r="E9" s="77"/>
      <c r="F9" s="78"/>
      <c r="G9" s="20">
        <f>'Fane 3. Grundlag'!G12-'Fane 3. Grundlag'!G11</f>
        <v>6409058.8701287191</v>
      </c>
      <c r="H9" s="10" t="s">
        <v>4</v>
      </c>
      <c r="I9" s="1"/>
    </row>
    <row r="10" spans="1:9" x14ac:dyDescent="0.25">
      <c r="A10" s="1"/>
      <c r="B10" s="76" t="s">
        <v>28</v>
      </c>
      <c r="C10" s="77"/>
      <c r="D10" s="77"/>
      <c r="E10" s="77"/>
      <c r="F10" s="78"/>
      <c r="G10" s="44">
        <f>1.7</f>
        <v>1.7</v>
      </c>
      <c r="H10" s="10" t="s">
        <v>75</v>
      </c>
      <c r="I10" s="1"/>
    </row>
    <row r="11" spans="1:9" x14ac:dyDescent="0.25">
      <c r="A11" s="1"/>
      <c r="B11" s="83" t="s">
        <v>28</v>
      </c>
      <c r="C11" s="84"/>
      <c r="D11" s="84"/>
      <c r="E11" s="84"/>
      <c r="F11" s="85"/>
      <c r="G11" s="34">
        <f>$G$9*$G$10/100</f>
        <v>108954.00079218822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122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6" t="s">
        <v>77</v>
      </c>
      <c r="C9" s="77"/>
      <c r="D9" s="77"/>
      <c r="E9" s="77"/>
      <c r="F9" s="78"/>
      <c r="G9" s="36">
        <v>-4128012</v>
      </c>
      <c r="H9" s="10" t="s">
        <v>4</v>
      </c>
      <c r="I9" s="1"/>
    </row>
    <row r="10" spans="1:9" x14ac:dyDescent="0.25">
      <c r="A10" s="1"/>
      <c r="B10" s="76" t="s">
        <v>78</v>
      </c>
      <c r="C10" s="77"/>
      <c r="D10" s="77"/>
      <c r="E10" s="77"/>
      <c r="F10" s="78"/>
      <c r="G10" s="36">
        <v>-2415926</v>
      </c>
      <c r="H10" s="10" t="s">
        <v>4</v>
      </c>
      <c r="I10" s="1"/>
    </row>
    <row r="11" spans="1:9" x14ac:dyDescent="0.25">
      <c r="A11" s="1"/>
      <c r="B11" s="86" t="s">
        <v>92</v>
      </c>
      <c r="C11" s="87"/>
      <c r="D11" s="87"/>
      <c r="E11" s="87"/>
      <c r="F11" s="88"/>
      <c r="G11" s="38">
        <v>-1712086</v>
      </c>
      <c r="H11" s="23" t="s">
        <v>4</v>
      </c>
      <c r="I11" s="1"/>
    </row>
    <row r="12" spans="1:9" x14ac:dyDescent="0.25">
      <c r="A12" s="1"/>
      <c r="B12" s="76" t="s">
        <v>79</v>
      </c>
      <c r="C12" s="77"/>
      <c r="D12" s="77"/>
      <c r="E12" s="77"/>
      <c r="F12" s="78"/>
      <c r="G12" s="36">
        <v>4</v>
      </c>
      <c r="H12" s="10" t="s">
        <v>4</v>
      </c>
      <c r="I12" s="1"/>
    </row>
    <row r="13" spans="1:9" x14ac:dyDescent="0.25">
      <c r="A13" s="1"/>
      <c r="B13" s="83" t="s">
        <v>76</v>
      </c>
      <c r="C13" s="84"/>
      <c r="D13" s="84"/>
      <c r="E13" s="84"/>
      <c r="F13" s="85"/>
      <c r="G13" s="34">
        <f>G11/G12</f>
        <v>-428021.5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123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6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2" t="s">
        <v>0</v>
      </c>
      <c r="C9" s="17" t="s">
        <v>1</v>
      </c>
      <c r="D9" s="24" t="s">
        <v>2</v>
      </c>
      <c r="E9" s="24" t="s">
        <v>80</v>
      </c>
      <c r="F9" s="89" t="s">
        <v>3</v>
      </c>
      <c r="G9" s="89"/>
      <c r="H9" s="1"/>
    </row>
    <row r="10" spans="1:8" x14ac:dyDescent="0.25">
      <c r="A10" s="1"/>
      <c r="B10" s="43" t="s">
        <v>110</v>
      </c>
      <c r="C10" s="39">
        <v>2015</v>
      </c>
      <c r="D10" s="39">
        <v>10</v>
      </c>
      <c r="E10" s="36">
        <v>779124</v>
      </c>
      <c r="F10" s="20">
        <f>E10/D10</f>
        <v>77912.399999999994</v>
      </c>
      <c r="G10" s="10" t="s">
        <v>4</v>
      </c>
      <c r="H10" s="1"/>
    </row>
    <row r="11" spans="1:8" x14ac:dyDescent="0.25">
      <c r="A11" s="1"/>
      <c r="B11" s="43" t="s">
        <v>111</v>
      </c>
      <c r="C11" s="39">
        <v>2015</v>
      </c>
      <c r="D11" s="39">
        <v>75</v>
      </c>
      <c r="E11" s="36">
        <v>143233</v>
      </c>
      <c r="F11" s="20">
        <f t="shared" ref="F11:F19" si="0">E11/D11</f>
        <v>1909.7733333333333</v>
      </c>
      <c r="G11" s="10" t="s">
        <v>4</v>
      </c>
      <c r="H11" s="1"/>
    </row>
    <row r="12" spans="1:8" x14ac:dyDescent="0.25">
      <c r="A12" s="1"/>
      <c r="B12" s="43" t="s">
        <v>112</v>
      </c>
      <c r="C12" s="39">
        <v>2015</v>
      </c>
      <c r="D12" s="39">
        <v>75</v>
      </c>
      <c r="E12" s="36">
        <v>688271</v>
      </c>
      <c r="F12" s="20">
        <f t="shared" si="0"/>
        <v>9176.9466666666667</v>
      </c>
      <c r="G12" s="10" t="s">
        <v>4</v>
      </c>
      <c r="H12" s="1"/>
    </row>
    <row r="13" spans="1:8" x14ac:dyDescent="0.25">
      <c r="A13" s="1"/>
      <c r="B13" s="43" t="s">
        <v>111</v>
      </c>
      <c r="C13" s="39">
        <v>2015</v>
      </c>
      <c r="D13" s="39">
        <v>75</v>
      </c>
      <c r="E13" s="36">
        <v>279525</v>
      </c>
      <c r="F13" s="20">
        <f t="shared" si="0"/>
        <v>3727</v>
      </c>
      <c r="G13" s="10" t="s">
        <v>4</v>
      </c>
      <c r="H13" s="1"/>
    </row>
    <row r="14" spans="1:8" x14ac:dyDescent="0.25">
      <c r="A14" s="1"/>
      <c r="B14" s="43" t="s">
        <v>113</v>
      </c>
      <c r="C14" s="39">
        <v>2015</v>
      </c>
      <c r="D14" s="39">
        <v>75</v>
      </c>
      <c r="E14" s="36">
        <v>206467</v>
      </c>
      <c r="F14" s="20">
        <f t="shared" si="0"/>
        <v>2752.8933333333334</v>
      </c>
      <c r="G14" s="10" t="s">
        <v>4</v>
      </c>
      <c r="H14" s="1"/>
    </row>
    <row r="15" spans="1:8" ht="26.25" x14ac:dyDescent="0.25">
      <c r="A15" s="1"/>
      <c r="B15" s="43" t="s">
        <v>114</v>
      </c>
      <c r="C15" s="39">
        <v>2015</v>
      </c>
      <c r="D15" s="39">
        <v>30</v>
      </c>
      <c r="E15" s="36">
        <v>188949</v>
      </c>
      <c r="F15" s="20">
        <f t="shared" si="0"/>
        <v>6298.3</v>
      </c>
      <c r="G15" s="10" t="s">
        <v>4</v>
      </c>
      <c r="H15" s="1"/>
    </row>
    <row r="16" spans="1:8" x14ac:dyDescent="0.25">
      <c r="A16" s="1"/>
      <c r="B16" s="43" t="s">
        <v>115</v>
      </c>
      <c r="C16" s="39">
        <v>2015</v>
      </c>
      <c r="D16" s="39">
        <v>25</v>
      </c>
      <c r="E16" s="36">
        <v>108210</v>
      </c>
      <c r="F16" s="20">
        <f t="shared" si="0"/>
        <v>4328.3999999999996</v>
      </c>
      <c r="G16" s="10" t="s">
        <v>4</v>
      </c>
      <c r="H16" s="1"/>
    </row>
    <row r="17" spans="1:8" x14ac:dyDescent="0.25">
      <c r="A17" s="1"/>
      <c r="B17" s="43" t="s">
        <v>116</v>
      </c>
      <c r="C17" s="39">
        <v>2015</v>
      </c>
      <c r="D17" s="39">
        <v>5</v>
      </c>
      <c r="E17" s="36">
        <v>23710</v>
      </c>
      <c r="F17" s="20">
        <f t="shared" si="0"/>
        <v>4742</v>
      </c>
      <c r="G17" s="10" t="s">
        <v>4</v>
      </c>
      <c r="H17" s="1"/>
    </row>
    <row r="18" spans="1:8" x14ac:dyDescent="0.25">
      <c r="A18" s="1"/>
      <c r="B18" s="43" t="s">
        <v>117</v>
      </c>
      <c r="C18" s="39">
        <v>2015</v>
      </c>
      <c r="D18" s="39">
        <v>5</v>
      </c>
      <c r="E18" s="36">
        <v>61000</v>
      </c>
      <c r="F18" s="20">
        <f t="shared" si="0"/>
        <v>12200</v>
      </c>
      <c r="G18" s="10" t="s">
        <v>4</v>
      </c>
      <c r="H18" s="1"/>
    </row>
    <row r="19" spans="1:8" x14ac:dyDescent="0.25">
      <c r="A19" s="1"/>
      <c r="B19" s="43" t="s">
        <v>118</v>
      </c>
      <c r="C19" s="39">
        <v>2015</v>
      </c>
      <c r="D19" s="39">
        <v>5</v>
      </c>
      <c r="E19" s="36">
        <v>167500</v>
      </c>
      <c r="F19" s="20">
        <f t="shared" si="0"/>
        <v>33500</v>
      </c>
      <c r="G19" s="10" t="s">
        <v>4</v>
      </c>
      <c r="H19" s="1"/>
    </row>
    <row r="20" spans="1:8" x14ac:dyDescent="0.25">
      <c r="A20" s="1"/>
      <c r="B20" s="83" t="s">
        <v>5</v>
      </c>
      <c r="C20" s="84"/>
      <c r="D20" s="84"/>
      <c r="E20" s="85"/>
      <c r="F20" s="34">
        <f>SUM(F10:F19)</f>
        <v>156547.71333333332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2016-11-09T09:18:28Z</dcterms:modified>
</cp:coreProperties>
</file>