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215" yWindow="150" windowWidth="20355" windowHeight="1140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3" i="11"/>
  <c r="F10" i="11"/>
  <c r="F14" i="11" s="1"/>
  <c r="G29" i="12" s="1"/>
  <c r="E14" i="2"/>
  <c r="G14" i="2" s="1"/>
  <c r="G12" i="7"/>
  <c r="G15" i="6"/>
  <c r="G15" i="5"/>
  <c r="G15" i="4"/>
  <c r="E22" i="2"/>
  <c r="G22" i="2" s="1"/>
  <c r="E10" i="2"/>
  <c r="E10" i="4" s="1"/>
  <c r="E10" i="5" s="1"/>
  <c r="E10" i="6" s="1"/>
  <c r="E28" i="13" l="1"/>
  <c r="G28" i="13" s="1"/>
  <c r="G30" i="12"/>
  <c r="E19" i="2" s="1"/>
  <c r="E20" i="2" s="1"/>
  <c r="G20" i="2" s="1"/>
  <c r="G9" i="9"/>
  <c r="E11" i="2" s="1"/>
  <c r="E9" i="2"/>
  <c r="E9" i="4" l="1"/>
  <c r="E12" i="2"/>
  <c r="G12" i="2"/>
  <c r="G23" i="2" s="1"/>
  <c r="E12" i="4" l="1"/>
  <c r="E11" i="4"/>
  <c r="E13" i="4"/>
  <c r="G13" i="4" s="1"/>
  <c r="G16" i="4" s="1"/>
  <c r="E9" i="5"/>
  <c r="E12" i="5" l="1"/>
  <c r="E9" i="6"/>
  <c r="E11" i="5"/>
  <c r="E13" i="5" s="1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<sst xmlns="http://schemas.openxmlformats.org/spreadsheetml/2006/main" count="250" uniqueCount="122">
  <si>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</si>
  <si>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</si>
  <si>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</si>
  <si>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</si>
  <si>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</si>
  <si>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</si>
  <si>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</si>
  <si>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</si>
  <si>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</si>
  <si>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</si>
  <si>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</si>
  <si>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</si>
  <si>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</si>
  <si>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</si>
  <si>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</si>
  <si>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</si>
  <si>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</si>
  <si>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</si>
  <si>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</si>
  <si>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</si>
  <si>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</si>
  <si>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</si>
  <si>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</si>
  <si>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</si>
  <si>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</si>
  <si>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</si>
  <si>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</si>
  <si>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</si>
  <si>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</si>
  <si>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</si>
  <si>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</si>
  <si>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</si>
  <si>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</si>
  <si>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</si>
  <si>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</si>
  <si>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</si>
  <si>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</si>
  <si>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</si>
  <si>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</si>
  <si>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</si>
  <si>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</si>
  <si>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</si>
  <si>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</si>
  <si>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</si>
  <si>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</si>
  <si>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</si>
  <si>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</si>
  <si>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</si>
  <si>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</si>
  <si>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</si>
  <si>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</si>
  <si>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</si>
  <si>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</si>
  <si>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</si>
  <si>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</si>
  <si>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</si>
  <si>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</si>
  <si>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</si>
  <si>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</si>
  <si>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</si>
  <si>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</si>
  <si>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</si>
  <si>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</si>
  <si>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</si>
  <si>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</si>
  <si>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</si>
  <si>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</si>
  <si>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</si>
  <si>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</si>
  <si>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</si>
  <si>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</si>
  <si>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</si>
  <si>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</si>
  <si>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</si>
  <si>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</si>
  <si>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</si>
  <si>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</si>
  <si>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</si>
  <si>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</si>
  <si>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</si>
  <si>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</si>
  <si>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</si>
  <si>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</si>
  <si>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</si>
  <si>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</si>
  <si>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</si>
  <si>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</si>
  <si>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</si>
  <si>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</si>
  <si>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</si>
  <si>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</si>
  <si>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</si>
  <si>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</si>
  <si>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</si>
  <si>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</si>
  <si>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</si>
  <si>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</si>
  <si>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</si>
  <si>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</si>
  <si>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</si>
  <si>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</si>
  <si>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</si>
  <si>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</si>
  <si>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</si>
  <si>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</si>
  <si>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</si>
  <si>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</si>
  <si>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</si>
  <si>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</si>
  <si>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</si>
  <si>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IT</t>
  </si>
  <si>
    <t>Afregningsmålere, elektroniske ≤ Ø 110mm (Qn 10)</t>
  </si>
  <si>
    <t>Elanlæg</t>
  </si>
  <si>
    <t>Ø 50mm &lt; Ledningsnet ≤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</si>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</sst>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1462881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1343133</v>
      </c>
      <c r="H10" s="10" t="s">
        <v>4</v>
      </c>
      <c r="I10" s="1"/>
    </row>
    <row r="11" spans="1:9" x14ac:dyDescent="0.25">
      <c r="A11" s="1"/>
      <c r="B11" s="73" t="s">
        <v>83</v>
      </c>
      <c r="C11" s="74"/>
      <c r="D11" s="74"/>
      <c r="E11" s="74"/>
      <c r="F11" s="75"/>
      <c r="G11" s="34">
        <f>G9-G10</f>
        <v>119748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6984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0</v>
      </c>
      <c r="H16" s="10" t="s">
        <v>4</v>
      </c>
      <c r="I16" s="1"/>
    </row>
    <row r="17" spans="1:9" x14ac:dyDescent="0.25">
      <c r="A17" s="1"/>
      <c r="B17" s="73" t="s">
        <v>87</v>
      </c>
      <c r="C17" s="74"/>
      <c r="D17" s="74"/>
      <c r="E17" s="74"/>
      <c r="F17" s="75"/>
      <c r="G17" s="34">
        <f>G15-G16</f>
        <v>6984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73" t="s">
        <v>96</v>
      </c>
      <c r="C23" s="74"/>
      <c r="D23" s="74"/>
      <c r="E23" s="74"/>
      <c r="F23" s="75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21333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32000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2015'!F14</f>
        <v>83479.5</v>
      </c>
      <c r="H29" s="10" t="s">
        <v>4</v>
      </c>
      <c r="I29" s="1"/>
    </row>
    <row r="30" spans="1:9" x14ac:dyDescent="0.25">
      <c r="A30" s="1"/>
      <c r="B30" s="73" t="s">
        <v>88</v>
      </c>
      <c r="C30" s="74"/>
      <c r="D30" s="74"/>
      <c r="E30" s="74"/>
      <c r="F30" s="75"/>
      <c r="G30" s="34">
        <f>G29-G27+G29-G28</f>
        <v>113626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120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2321441</v>
      </c>
      <c r="H9" s="16" t="s">
        <v>4</v>
      </c>
      <c r="I9" s="1"/>
    </row>
    <row r="10" spans="1:9" x14ac:dyDescent="0.25">
      <c r="A10" s="1"/>
      <c r="B10" s="73" t="s">
        <v>52</v>
      </c>
      <c r="C10" s="74"/>
      <c r="D10" s="74"/>
      <c r="E10" s="74"/>
      <c r="F10" s="74"/>
      <c r="G10" s="74"/>
      <c r="H10" s="75"/>
      <c r="I10" s="1"/>
    </row>
    <row r="11" spans="1:9" x14ac:dyDescent="0.25">
      <c r="A11" s="1"/>
      <c r="B11" s="77" t="s">
        <v>53</v>
      </c>
      <c r="C11" s="78"/>
      <c r="D11" s="79"/>
      <c r="E11" s="36">
        <v>1135985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0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0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38209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1174194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207323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207323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0" t="s">
        <v>62</v>
      </c>
      <c r="C20" s="71"/>
      <c r="D20" s="72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0" t="s">
        <v>63</v>
      </c>
      <c r="C21" s="71"/>
      <c r="D21" s="72"/>
      <c r="E21" s="36">
        <v>-1346377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0" t="s">
        <v>66</v>
      </c>
      <c r="C24" s="71"/>
      <c r="D24" s="72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0" t="s">
        <v>67</v>
      </c>
      <c r="C25" s="71"/>
      <c r="D25" s="72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0" t="s">
        <v>68</v>
      </c>
      <c r="C26" s="71"/>
      <c r="D26" s="72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-1346377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35140</v>
      </c>
      <c r="F28" s="16" t="s">
        <v>4</v>
      </c>
      <c r="G28" s="31">
        <f>IF(E28&lt;0,0,-E28)</f>
        <v>-35140</v>
      </c>
      <c r="H28" s="16" t="s">
        <v>4</v>
      </c>
      <c r="I28" s="1"/>
    </row>
    <row r="29" spans="1:9" x14ac:dyDescent="0.25">
      <c r="A29" s="1"/>
      <c r="B29" s="73" t="s">
        <v>71</v>
      </c>
      <c r="C29" s="74"/>
      <c r="D29" s="74"/>
      <c r="E29" s="74"/>
      <c r="F29" s="74"/>
      <c r="G29" s="74"/>
      <c r="H29" s="75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114</v>
      </c>
      <c r="C31" s="74"/>
      <c r="D31" s="74"/>
      <c r="E31" s="74"/>
      <c r="F31" s="74"/>
      <c r="G31" s="74"/>
      <c r="H31" s="75"/>
      <c r="I31" s="1"/>
    </row>
    <row r="32" spans="1:9" ht="30" customHeight="1" x14ac:dyDescent="0.25">
      <c r="A32" s="1"/>
      <c r="B32" s="70" t="s">
        <v>115</v>
      </c>
      <c r="C32" s="71"/>
      <c r="D32" s="72"/>
      <c r="E32" s="36">
        <v>3247348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0" t="s">
        <v>73</v>
      </c>
      <c r="C34" s="71"/>
      <c r="D34" s="72"/>
      <c r="E34" s="36">
        <v>51993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3299341</v>
      </c>
      <c r="F35" s="16" t="s">
        <v>4</v>
      </c>
      <c r="G35" s="33">
        <f>-E35</f>
        <v>-3299341</v>
      </c>
      <c r="H35" s="16" t="s">
        <v>4</v>
      </c>
      <c r="I35" s="1"/>
    </row>
    <row r="36" spans="1:9" x14ac:dyDescent="0.25">
      <c r="A36" s="1"/>
      <c r="B36" s="73" t="s">
        <v>50</v>
      </c>
      <c r="C36" s="74"/>
      <c r="D36" s="74"/>
      <c r="E36" s="74"/>
      <c r="F36" s="75"/>
      <c r="G36" s="34">
        <f>$G$9+$G$28+$G$30+$G$35</f>
        <v>-1013040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121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ht="30" customHeight="1" x14ac:dyDescent="0.25">
      <c r="A9" s="1"/>
      <c r="B9" s="70" t="s">
        <v>31</v>
      </c>
      <c r="C9" s="71"/>
      <c r="D9" s="72"/>
      <c r="E9" s="32">
        <f>'Fane 3. Grundlag'!G12</f>
        <v>3854874.9414291424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1475830.0422629397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40443.763285825444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3814431.1781433169</v>
      </c>
      <c r="F12" s="17" t="s">
        <v>4</v>
      </c>
      <c r="G12" s="33">
        <f>E12</f>
        <v>3814431.1781433169</v>
      </c>
      <c r="H12" s="17" t="s">
        <v>4</v>
      </c>
      <c r="I12" s="1"/>
    </row>
    <row r="13" spans="1:9" x14ac:dyDescent="0.25">
      <c r="A13" s="1"/>
      <c r="B13" s="73" t="s">
        <v>32</v>
      </c>
      <c r="C13" s="74"/>
      <c r="D13" s="74"/>
      <c r="E13" s="74"/>
      <c r="F13" s="74"/>
      <c r="G13" s="74"/>
      <c r="H13" s="75"/>
      <c r="I13" s="1"/>
    </row>
    <row r="14" spans="1:9" x14ac:dyDescent="0.25">
      <c r="A14" s="1"/>
      <c r="B14" s="67" t="s">
        <v>106</v>
      </c>
      <c r="C14" s="68"/>
      <c r="D14" s="69"/>
      <c r="E14" s="33">
        <f>'Fane 5. Hist. over el. underdæk'!G13</f>
        <v>0</v>
      </c>
      <c r="F14" s="17" t="s">
        <v>4</v>
      </c>
      <c r="G14" s="33">
        <f>E14</f>
        <v>0</v>
      </c>
      <c r="H14" s="17" t="s">
        <v>4</v>
      </c>
      <c r="I14" s="1"/>
    </row>
    <row r="15" spans="1:9" x14ac:dyDescent="0.25">
      <c r="A15" s="1"/>
      <c r="B15" s="73" t="s">
        <v>29</v>
      </c>
      <c r="C15" s="74"/>
      <c r="D15" s="74"/>
      <c r="E15" s="74"/>
      <c r="F15" s="74"/>
      <c r="G15" s="74"/>
      <c r="H15" s="75"/>
      <c r="I15" s="1"/>
    </row>
    <row r="16" spans="1:9" x14ac:dyDescent="0.25">
      <c r="A16" s="1"/>
      <c r="B16" s="70" t="s">
        <v>35</v>
      </c>
      <c r="C16" s="71"/>
      <c r="D16" s="72"/>
      <c r="E16" s="20">
        <f>'Fane 7. Korrektion af PL2015'!G11</f>
        <v>119748</v>
      </c>
      <c r="F16" s="7" t="s">
        <v>4</v>
      </c>
      <c r="G16" s="19"/>
      <c r="H16" s="9"/>
      <c r="I16" s="1"/>
    </row>
    <row r="17" spans="1:9" x14ac:dyDescent="0.25">
      <c r="A17" s="1"/>
      <c r="B17" s="70" t="s">
        <v>36</v>
      </c>
      <c r="C17" s="71"/>
      <c r="D17" s="72"/>
      <c r="E17" s="20">
        <f>'Fane 7. Korrektion af PL2015'!G17</f>
        <v>6984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0" t="s">
        <v>99</v>
      </c>
      <c r="C18" s="71"/>
      <c r="D18" s="72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0" t="s">
        <v>37</v>
      </c>
      <c r="C19" s="71"/>
      <c r="D19" s="72"/>
      <c r="E19" s="20">
        <f>'Fane 7. Korrektion af PL2015'!G30</f>
        <v>113626</v>
      </c>
      <c r="F19" s="7" t="s">
        <v>4</v>
      </c>
      <c r="G19" s="14"/>
      <c r="H19" s="15"/>
      <c r="I19" s="1"/>
    </row>
    <row r="20" spans="1:9" x14ac:dyDescent="0.25">
      <c r="A20" s="1"/>
      <c r="B20" s="67" t="s">
        <v>38</v>
      </c>
      <c r="C20" s="68"/>
      <c r="D20" s="69"/>
      <c r="E20" s="33">
        <f>SUM(E16:E19)</f>
        <v>240358</v>
      </c>
      <c r="F20" s="17" t="s">
        <v>4</v>
      </c>
      <c r="G20" s="33">
        <f>E20</f>
        <v>240358</v>
      </c>
      <c r="H20" s="17" t="s">
        <v>4</v>
      </c>
      <c r="I20" s="1"/>
    </row>
    <row r="21" spans="1:9" x14ac:dyDescent="0.25">
      <c r="A21" s="1"/>
      <c r="B21" s="73" t="s">
        <v>33</v>
      </c>
      <c r="C21" s="74"/>
      <c r="D21" s="74"/>
      <c r="E21" s="74"/>
      <c r="F21" s="74"/>
      <c r="G21" s="74"/>
      <c r="H21" s="75"/>
      <c r="I21" s="1"/>
    </row>
    <row r="22" spans="1:9" x14ac:dyDescent="0.25">
      <c r="A22" s="1"/>
      <c r="B22" s="67" t="s">
        <v>34</v>
      </c>
      <c r="C22" s="68"/>
      <c r="D22" s="69"/>
      <c r="E22" s="33">
        <f>'Fane 8. Kontrol af PL2015'!G36</f>
        <v>-1013040</v>
      </c>
      <c r="F22" s="17" t="s">
        <v>4</v>
      </c>
      <c r="G22" s="33">
        <f>E22</f>
        <v>-1013040</v>
      </c>
      <c r="H22" s="17" t="s">
        <v>4</v>
      </c>
      <c r="I22" s="1"/>
    </row>
    <row r="23" spans="1:9" x14ac:dyDescent="0.25">
      <c r="A23" s="1"/>
      <c r="B23" s="73" t="s">
        <v>39</v>
      </c>
      <c r="C23" s="74"/>
      <c r="D23" s="74"/>
      <c r="E23" s="74"/>
      <c r="F23" s="75"/>
      <c r="G23" s="34">
        <f>G12+G14+G20+G22</f>
        <v>3041749.1781433169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0" t="s">
        <v>40</v>
      </c>
      <c r="C9" s="71"/>
      <c r="D9" s="72"/>
      <c r="E9" s="35">
        <f>'Fane 2.1. Økonomisk ramme 2017'!$E$9-'Fane 2.1. Økonomisk ramme 2017'!$E$11</f>
        <v>3814431.1781433169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1475830.0422629397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48443.275962420121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40261.12329520299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3822613.3308105343</v>
      </c>
      <c r="F13" s="17" t="s">
        <v>4</v>
      </c>
      <c r="G13" s="33">
        <f>E13</f>
        <v>3822613.3308105343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67" t="s">
        <v>106</v>
      </c>
      <c r="C15" s="68"/>
      <c r="D15" s="69"/>
      <c r="E15" s="37">
        <f>IF('Fane 5. Hist. over el. underdæk'!$G$12&gt;1,'Fane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3" t="s">
        <v>42</v>
      </c>
      <c r="C16" s="74"/>
      <c r="D16" s="74"/>
      <c r="E16" s="74"/>
      <c r="F16" s="75"/>
      <c r="G16" s="34">
        <f>G13+G15</f>
        <v>3822613.3308105343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0" t="s">
        <v>44</v>
      </c>
      <c r="C9" s="71"/>
      <c r="D9" s="72"/>
      <c r="E9" s="35">
        <f>'Fane 2.2. Økonomisk ramme 2018'!$E$9*1.0127-'Fane 2.2. Økonomisk ramme 2018'!$E$12</f>
        <v>3822613.3308105338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1494573.0837996791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48547.18930129378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40079.308088514175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3831081.2120233136</v>
      </c>
      <c r="F13" s="17" t="s">
        <v>4</v>
      </c>
      <c r="G13" s="33">
        <f>E13</f>
        <v>3831081.2120233136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67" t="s">
        <v>106</v>
      </c>
      <c r="C15" s="68"/>
      <c r="D15" s="69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3" t="s">
        <v>45</v>
      </c>
      <c r="C16" s="74"/>
      <c r="D16" s="74"/>
      <c r="E16" s="74"/>
      <c r="F16" s="75"/>
      <c r="G16" s="34">
        <f>G13+G15</f>
        <v>3831081.2120233136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0" t="s">
        <v>46</v>
      </c>
      <c r="C9" s="71"/>
      <c r="D9" s="72"/>
      <c r="E9" s="35">
        <f>'Fane 2.3. Økonomisk ramme 2019'!$E$9*1.0127-'Fane 2.3. Økonomisk ramme 2019'!$E$12</f>
        <v>3831081.2120233132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1513554.1619639348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48654.731392696078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39898.313941117245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3839837.6294748918</v>
      </c>
      <c r="F13" s="17" t="s">
        <v>4</v>
      </c>
      <c r="G13" s="33">
        <f>E13</f>
        <v>3839837.6294748918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67" t="s">
        <v>106</v>
      </c>
      <c r="C15" s="68"/>
      <c r="D15" s="69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3" t="s">
        <v>47</v>
      </c>
      <c r="C16" s="74"/>
      <c r="D16" s="74"/>
      <c r="E16" s="74"/>
      <c r="F16" s="75"/>
      <c r="G16" s="34">
        <f>G13+G15</f>
        <v>3839837.6294748918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48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985375.68561633106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1393669.2135498715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1475830.0422629397</v>
      </c>
      <c r="H11" s="10" t="s">
        <v>4</v>
      </c>
      <c r="I11" s="1"/>
    </row>
    <row r="12" spans="1:9" x14ac:dyDescent="0.25">
      <c r="A12" s="1"/>
      <c r="B12" s="73" t="s">
        <v>48</v>
      </c>
      <c r="C12" s="74"/>
      <c r="D12" s="74"/>
      <c r="E12" s="74"/>
      <c r="F12" s="75"/>
      <c r="G12" s="34">
        <f>SUM(G9:G11)</f>
        <v>3854874.9414291424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116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104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2379044.8991662026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3" t="s">
        <v>28</v>
      </c>
      <c r="C11" s="74"/>
      <c r="D11" s="74"/>
      <c r="E11" s="74"/>
      <c r="F11" s="75"/>
      <c r="G11" s="34">
        <f>$G$9*$G$10/100</f>
        <v>40443.763285825444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105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-58337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-58337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0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0</v>
      </c>
      <c r="H12" s="10" t="s">
        <v>4</v>
      </c>
      <c r="I12" s="1"/>
    </row>
    <row r="13" spans="1:9" x14ac:dyDescent="0.25">
      <c r="A13" s="1"/>
      <c r="B13" s="73" t="s">
        <v>76</v>
      </c>
      <c r="C13" s="74"/>
      <c r="D13" s="74"/>
      <c r="E13" s="74"/>
      <c r="F13" s="75"/>
      <c r="G13" s="34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118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3" t="s">
        <v>6</v>
      </c>
      <c r="C8" s="74"/>
      <c r="D8" s="74"/>
      <c r="E8" s="74"/>
      <c r="F8" s="74"/>
      <c r="G8" s="7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5</v>
      </c>
      <c r="E10" s="36">
        <v>12808</v>
      </c>
      <c r="F10" s="20">
        <f>E10/D10</f>
        <v>2561.6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10</v>
      </c>
      <c r="E11" s="36">
        <v>224454</v>
      </c>
      <c r="F11" s="20">
        <f t="shared" ref="F11:F13" si="0">E11/D11</f>
        <v>22445.4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10</v>
      </c>
      <c r="E12" s="36">
        <v>60335</v>
      </c>
      <c r="F12" s="20">
        <f t="shared" si="0"/>
        <v>6033.5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20</v>
      </c>
      <c r="E13" s="36">
        <v>1048780</v>
      </c>
      <c r="F13" s="20">
        <f t="shared" si="0"/>
        <v>52439</v>
      </c>
      <c r="G13" s="10" t="s">
        <v>4</v>
      </c>
      <c r="H13" s="1"/>
    </row>
    <row r="14" spans="1:8" x14ac:dyDescent="0.25">
      <c r="A14" s="1"/>
      <c r="B14" s="73" t="s">
        <v>5</v>
      </c>
      <c r="C14" s="74"/>
      <c r="D14" s="74"/>
      <c r="E14" s="75"/>
      <c r="F14" s="34">
        <f>SUM(F10:F13)</f>
        <v>83479.5</v>
      </c>
      <c r="G14" s="18" t="s">
        <v>4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</sheetData>
  <sheetProtection password="C6BD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2016-10-20T12:04:13Z</dcterms:modified>
</cp:coreProperties>
</file>