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F14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<sst xmlns="http://schemas.openxmlformats.org/spreadsheetml/2006/main" count="250" uniqueCount="122">
  <si>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</si>
  <si>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</si>
  <si>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</si>
  <si>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</si>
  <si>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</si>
  <si>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</si>
  <si>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</si>
  <si>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</si>
  <si>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</si>
  <si>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</si>
  <si>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</si>
  <si>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</si>
  <si>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</si>
  <si>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</si>
  <si>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</si>
  <si>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</si>
  <si>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</si>
  <si>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</si>
  <si>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</si>
  <si>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</si>
  <si>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</si>
  <si>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</si>
  <si>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</si>
  <si>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</si>
  <si>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</si>
  <si>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</si>
  <si>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</si>
  <si>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</si>
  <si>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</si>
  <si>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</si>
  <si>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</si>
  <si>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</si>
  <si>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</si>
  <si>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</si>
  <si>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</si>
  <si>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</si>
  <si>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</si>
  <si>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</si>
  <si>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</si>
  <si>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</si>
  <si>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</si>
  <si>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</si>
  <si>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</si>
  <si>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</si>
  <si>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</si>
  <si>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</si>
  <si>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</si>
  <si>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</si>
  <si>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</si>
  <si>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</si>
  <si>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</si>
  <si>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</si>
  <si>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</si>
  <si>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</si>
  <si>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</si>
  <si>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</si>
  <si>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</si>
  <si>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</si>
  <si>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</si>
  <si>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</si>
  <si>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</si>
  <si>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</si>
  <si>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</si>
  <si>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</si>
  <si>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</si>
  <si>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</si>
  <si>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</si>
  <si>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</si>
  <si>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</si>
  <si>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</si>
  <si>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</si>
  <si>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</si>
  <si>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</si>
  <si>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</si>
  <si>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</si>
  <si>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</si>
  <si>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</si>
  <si>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</si>
  <si>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</si>
  <si>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</si>
  <si>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</si>
  <si>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</si>
  <si>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</si>
  <si>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</si>
  <si>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</si>
  <si>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</si>
  <si>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</si>
  <si>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</si>
  <si>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</si>
  <si>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</si>
  <si>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</si>
  <si>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</si>
  <si>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</si>
  <si>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</si>
  <si>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</si>
  <si>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</si>
  <si>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</si>
  <si>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</si>
  <si>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</si>
  <si>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</si>
  <si>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</si>
  <si>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</si>
  <si>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</si>
  <si>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</si>
  <si>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</si>
  <si>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</si>
  <si>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</si>
  <si>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</si>
  <si>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</si>
  <si>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</si>
  <si>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personbil</t>
  </si>
  <si>
    <t>Afregningsmålere, elektroniske ≤ Ø 110mm (Qn 10)</t>
  </si>
  <si>
    <t>Arbejdsplads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</si>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</sst>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77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7" applyNumberFormat="0" applyAlignment="0" applyProtection="0"/>
    <xf numFmtId="0" fontId="20" fillId="15" borderId="18" applyNumberFormat="0" applyAlignment="0" applyProtection="0"/>
    <xf numFmtId="0" fontId="21" fillId="0" borderId="19" applyNumberFormat="0" applyFill="0" applyAlignment="0" applyProtection="0"/>
    <xf numFmtId="0" fontId="22" fillId="16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1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3" applyFill="0" applyAlignment="0" applyProtection="0"/>
    <xf numFmtId="165" fontId="26" fillId="0" borderId="23" applyFill="0" applyAlignment="0" applyProtection="0"/>
    <xf numFmtId="167" fontId="26" fillId="0" borderId="23" applyFill="0" applyAlignment="0" applyProtection="0"/>
    <xf numFmtId="168" fontId="26" fillId="0" borderId="23" applyFill="0" applyAlignment="0" applyProtection="0"/>
    <xf numFmtId="164" fontId="12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4" applyNumberFormat="0" applyAlignment="0" applyProtection="0"/>
    <xf numFmtId="0" fontId="30" fillId="41" borderId="0" applyNumberFormat="0" applyBorder="0" applyAlignment="0" applyProtection="0"/>
    <xf numFmtId="0" fontId="31" fillId="44" borderId="24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2" fillId="55" borderId="25" applyNumberFormat="0" applyFont="0" applyAlignment="0" applyProtection="0"/>
    <xf numFmtId="0" fontId="34" fillId="53" borderId="26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8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8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1" applyNumberFormat="0" applyFont="0" applyAlignment="0" applyProtection="0"/>
    <xf numFmtId="0" fontId="11" fillId="25" borderId="0" applyNumberFormat="0" applyBorder="0" applyAlignment="0" applyProtection="0"/>
    <xf numFmtId="0" fontId="11" fillId="17" borderId="21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1" applyNumberFormat="0" applyFont="0" applyAlignment="0" applyProtection="0"/>
    <xf numFmtId="0" fontId="11" fillId="25" borderId="0" applyNumberFormat="0" applyBorder="0" applyAlignment="0" applyProtection="0"/>
    <xf numFmtId="0" fontId="11" fillId="17" borderId="21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1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1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3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1" fillId="8" borderId="7" xfId="27276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76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76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76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76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76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76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77">
    <cellStyle name="20 % - Markeringsfarve1" xfId="98" builtinId="30" customBuiltin="1"/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" xfId="99" builtinId="34" customBuiltin="1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" xfId="100" builtinId="38" customBuiltin="1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" xfId="101" builtinId="42" customBuiltin="1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" xfId="102" builtinId="46" customBuiltin="1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" xfId="103" builtinId="50" customBuiltin="1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40 % - Markeringsfarve1" xfId="104" builtinId="31" customBuiltin="1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" xfId="105" builtinId="35" customBuiltin="1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" xfId="106" builtinId="39" customBuiltin="1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" xfId="107" builtinId="43" customBuiltin="1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" xfId="108" builtinId="47" customBuiltin="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" xfId="109" builtinId="51" customBuiltin="1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60 % - Markeringsfarve1" xfId="110" builtinId="32" customBuiltin="1"/>
    <cellStyle name="60 % - Markeringsfarve2" xfId="111" builtinId="36" customBuiltin="1"/>
    <cellStyle name="60 % - Markeringsfarve3" xfId="112" builtinId="40" customBuiltin="1"/>
    <cellStyle name="60 % - Markeringsfarve3 2" xfId="33"/>
    <cellStyle name="60 % - Markeringsfarve4" xfId="113" builtinId="44" customBuiltin="1"/>
    <cellStyle name="60 % - Markeringsfarve4 2" xfId="34"/>
    <cellStyle name="60 % - Markeringsfarve5" xfId="114" builtinId="48" customBuiltin="1"/>
    <cellStyle name="60 % - Markeringsfarve6" xfId="115" builtinId="52" customBuiltin="1"/>
    <cellStyle name="60 % - Markeringsfarve6 2" xfId="35"/>
    <cellStyle name="Accent1" xfId="15"/>
    <cellStyle name="Accent2" xfId="16"/>
    <cellStyle name="Accent3" xfId="17"/>
    <cellStyle name="Accent4" xfId="18"/>
    <cellStyle name="Accent5" xfId="19"/>
    <cellStyle name="Accent6" xfId="20"/>
    <cellStyle name="Advarselstekst" xfId="127" builtinId="11" customBuiltin="1"/>
    <cellStyle name="Bad" xfId="7"/>
    <cellStyle name="Beløb" xfId="86"/>
    <cellStyle name="Beløb (negative)" xfId="87"/>
    <cellStyle name="Beløb 1000" xfId="88"/>
    <cellStyle name="Beløb 1000 (negative)" xfId="89"/>
    <cellStyle name="Bemærk!" xfId="122" builtinId="10" customBuiltin="1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Beregning" xfId="116" builtinId="22" customBuiltin="1"/>
    <cellStyle name="Check Cell" xfId="12"/>
    <cellStyle name="Decimal" xfId="90"/>
    <cellStyle name="Decimal (negative)" xfId="91"/>
    <cellStyle name="Explanatory Text" xfId="13"/>
    <cellStyle name="God" xfId="117" builtinId="26" customBuiltin="1"/>
    <cellStyle name="Heading 1" xfId="3"/>
    <cellStyle name="Heading 2" xfId="4"/>
    <cellStyle name="Heading 3" xfId="5"/>
    <cellStyle name="Heading 4" xfId="6"/>
    <cellStyle name="Input" xfId="9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76" builtinId="8"/>
    <cellStyle name="Link 2" xfId="27274"/>
    <cellStyle name="Linked Cell" xfId="11"/>
    <cellStyle name="Neutral" xfId="8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Output" xfId="10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el" xfId="125" builtinId="15" customBuiltin="1"/>
    <cellStyle name="Total" xfId="14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Valuta 2" xfId="2727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109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26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54" t="s">
        <v>23</v>
      </c>
      <c r="E14" s="55"/>
      <c r="F14" s="55"/>
      <c r="G14" s="56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4" t="s">
        <v>25</v>
      </c>
      <c r="E16" s="55"/>
      <c r="F16" s="55"/>
      <c r="G16" s="56"/>
      <c r="H16" s="1"/>
      <c r="I16" s="1"/>
    </row>
    <row r="17" spans="1:9" x14ac:dyDescent="0.25">
      <c r="A17" s="1"/>
      <c r="B17" s="1"/>
      <c r="C17" s="3" t="s">
        <v>17</v>
      </c>
      <c r="D17" s="57" t="s">
        <v>27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28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63" t="s">
        <v>32</v>
      </c>
      <c r="E19" s="64"/>
      <c r="F19" s="64"/>
      <c r="G19" s="65"/>
      <c r="H19" s="1"/>
      <c r="I19" s="1"/>
    </row>
    <row r="20" spans="1:9" x14ac:dyDescent="0.25">
      <c r="A20" s="1"/>
      <c r="B20" s="1"/>
      <c r="C20" s="3" t="s">
        <v>20</v>
      </c>
      <c r="D20" s="46" t="s">
        <v>6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6" t="s">
        <v>29</v>
      </c>
      <c r="E21" s="47"/>
      <c r="F21" s="47"/>
      <c r="G21" s="48"/>
      <c r="H21" s="1"/>
      <c r="I21" s="1"/>
    </row>
    <row r="22" spans="1:9" x14ac:dyDescent="0.25">
      <c r="A22" s="1"/>
      <c r="B22" s="1"/>
      <c r="C22" s="3" t="s">
        <v>22</v>
      </c>
      <c r="D22" s="49" t="s">
        <v>30</v>
      </c>
      <c r="E22" s="50"/>
      <c r="F22" s="50"/>
      <c r="G22" s="5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3" t="s">
        <v>119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9" t="s">
        <v>81</v>
      </c>
      <c r="C9" s="80"/>
      <c r="D9" s="80"/>
      <c r="E9" s="80"/>
      <c r="F9" s="81"/>
      <c r="G9" s="36">
        <v>2731852</v>
      </c>
      <c r="H9" s="10" t="s">
        <v>4</v>
      </c>
      <c r="I9" s="1"/>
    </row>
    <row r="10" spans="1:9" x14ac:dyDescent="0.25">
      <c r="A10" s="1"/>
      <c r="B10" s="79" t="s">
        <v>82</v>
      </c>
      <c r="C10" s="80"/>
      <c r="D10" s="80"/>
      <c r="E10" s="80"/>
      <c r="F10" s="81"/>
      <c r="G10" s="36">
        <v>2580706</v>
      </c>
      <c r="H10" s="10" t="s">
        <v>4</v>
      </c>
      <c r="I10" s="1"/>
    </row>
    <row r="11" spans="1:9" x14ac:dyDescent="0.25">
      <c r="A11" s="1"/>
      <c r="B11" s="69" t="s">
        <v>83</v>
      </c>
      <c r="C11" s="70"/>
      <c r="D11" s="70"/>
      <c r="E11" s="70"/>
      <c r="F11" s="71"/>
      <c r="G11" s="34">
        <f>G9-G10</f>
        <v>151146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9" t="s">
        <v>85</v>
      </c>
      <c r="C15" s="80"/>
      <c r="D15" s="80"/>
      <c r="E15" s="80"/>
      <c r="F15" s="81"/>
      <c r="G15" s="36">
        <v>29577</v>
      </c>
      <c r="H15" s="10" t="s">
        <v>4</v>
      </c>
      <c r="I15" s="1"/>
    </row>
    <row r="16" spans="1:9" x14ac:dyDescent="0.25">
      <c r="A16" s="1"/>
      <c r="B16" s="79" t="s">
        <v>86</v>
      </c>
      <c r="C16" s="80"/>
      <c r="D16" s="80"/>
      <c r="E16" s="80"/>
      <c r="F16" s="81"/>
      <c r="G16" s="36">
        <v>-300000</v>
      </c>
      <c r="H16" s="10" t="s">
        <v>4</v>
      </c>
      <c r="I16" s="1"/>
    </row>
    <row r="17" spans="1:9" x14ac:dyDescent="0.25">
      <c r="A17" s="1"/>
      <c r="B17" s="69" t="s">
        <v>87</v>
      </c>
      <c r="C17" s="70"/>
      <c r="D17" s="70"/>
      <c r="E17" s="70"/>
      <c r="F17" s="71"/>
      <c r="G17" s="34">
        <f>G15-G16</f>
        <v>329577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9" t="s">
        <v>95</v>
      </c>
      <c r="C21" s="80"/>
      <c r="D21" s="80"/>
      <c r="E21" s="80"/>
      <c r="F21" s="81"/>
      <c r="G21" s="36">
        <v>12767</v>
      </c>
      <c r="H21" s="10" t="s">
        <v>4</v>
      </c>
      <c r="I21" s="1"/>
    </row>
    <row r="22" spans="1:9" x14ac:dyDescent="0.25">
      <c r="A22" s="1"/>
      <c r="B22" s="79" t="s">
        <v>97</v>
      </c>
      <c r="C22" s="80"/>
      <c r="D22" s="80"/>
      <c r="E22" s="80"/>
      <c r="F22" s="81"/>
      <c r="G22" s="36">
        <v>14000</v>
      </c>
      <c r="H22" s="10" t="s">
        <v>4</v>
      </c>
      <c r="I22" s="1"/>
    </row>
    <row r="23" spans="1:9" x14ac:dyDescent="0.25">
      <c r="A23" s="1"/>
      <c r="B23" s="69" t="s">
        <v>96</v>
      </c>
      <c r="C23" s="70"/>
      <c r="D23" s="70"/>
      <c r="E23" s="70"/>
      <c r="F23" s="71"/>
      <c r="G23" s="34">
        <f>G21-G22</f>
        <v>-1233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9" t="s">
        <v>89</v>
      </c>
      <c r="C27" s="80"/>
      <c r="D27" s="80"/>
      <c r="E27" s="80"/>
      <c r="F27" s="81"/>
      <c r="G27" s="36">
        <v>35667</v>
      </c>
      <c r="H27" s="10" t="s">
        <v>4</v>
      </c>
      <c r="I27" s="1"/>
    </row>
    <row r="28" spans="1:9" x14ac:dyDescent="0.25">
      <c r="A28" s="1"/>
      <c r="B28" s="79" t="s">
        <v>90</v>
      </c>
      <c r="C28" s="80"/>
      <c r="D28" s="80"/>
      <c r="E28" s="80"/>
      <c r="F28" s="81"/>
      <c r="G28" s="36">
        <v>97633</v>
      </c>
      <c r="H28" s="10" t="s">
        <v>4</v>
      </c>
      <c r="I28" s="1"/>
    </row>
    <row r="29" spans="1:9" x14ac:dyDescent="0.25">
      <c r="A29" s="1"/>
      <c r="B29" s="79" t="s">
        <v>91</v>
      </c>
      <c r="C29" s="80"/>
      <c r="D29" s="80"/>
      <c r="E29" s="80"/>
      <c r="F29" s="81"/>
      <c r="G29" s="20">
        <f>'Fane 6. Gen. inv. i 2015'!F14</f>
        <v>84940.72</v>
      </c>
      <c r="H29" s="10" t="s">
        <v>4</v>
      </c>
      <c r="I29" s="1"/>
    </row>
    <row r="30" spans="1:9" x14ac:dyDescent="0.25">
      <c r="A30" s="1"/>
      <c r="B30" s="69" t="s">
        <v>88</v>
      </c>
      <c r="C30" s="70"/>
      <c r="D30" s="70"/>
      <c r="E30" s="70"/>
      <c r="F30" s="71"/>
      <c r="G30" s="34">
        <f>G29-G27+G29-G28</f>
        <v>36581.440000000002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3" t="s">
        <v>120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51</v>
      </c>
      <c r="C9" s="84"/>
      <c r="D9" s="84"/>
      <c r="E9" s="84"/>
      <c r="F9" s="85"/>
      <c r="G9" s="37">
        <v>3050343</v>
      </c>
      <c r="H9" s="16" t="s">
        <v>4</v>
      </c>
      <c r="I9" s="1"/>
    </row>
    <row r="10" spans="1:9" x14ac:dyDescent="0.25">
      <c r="A10" s="1"/>
      <c r="B10" s="69" t="s">
        <v>52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53</v>
      </c>
      <c r="C11" s="80"/>
      <c r="D11" s="81"/>
      <c r="E11" s="41">
        <v>850925.30925446399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54</v>
      </c>
      <c r="C12" s="80"/>
      <c r="D12" s="81"/>
      <c r="E12" s="41">
        <v>85183.433333333334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55</v>
      </c>
      <c r="C13" s="80"/>
      <c r="D13" s="81"/>
      <c r="E13" s="41">
        <v>1635.1199999999953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56</v>
      </c>
      <c r="C14" s="80"/>
      <c r="D14" s="81"/>
      <c r="E14" s="40">
        <v>56080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57</v>
      </c>
      <c r="C15" s="84"/>
      <c r="D15" s="85"/>
      <c r="E15" s="33">
        <f>SUM(E11:E14)</f>
        <v>993823.86258779734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58</v>
      </c>
      <c r="C16" s="80"/>
      <c r="D16" s="81"/>
      <c r="E16" s="36">
        <v>151154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59</v>
      </c>
      <c r="C17" s="80"/>
      <c r="D17" s="81"/>
      <c r="E17" s="36">
        <v>4000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60</v>
      </c>
      <c r="C18" s="80"/>
      <c r="D18" s="81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61</v>
      </c>
      <c r="C19" s="84"/>
      <c r="D19" s="85"/>
      <c r="E19" s="33">
        <f>SUM(E16:E18)</f>
        <v>155154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62</v>
      </c>
      <c r="C20" s="73"/>
      <c r="D20" s="74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63</v>
      </c>
      <c r="C21" s="73"/>
      <c r="D21" s="74"/>
      <c r="E21" s="36">
        <v>-1133295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64</v>
      </c>
      <c r="C22" s="80"/>
      <c r="D22" s="81"/>
      <c r="E22" s="36">
        <v>-15682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65</v>
      </c>
      <c r="C23" s="80"/>
      <c r="D23" s="81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66</v>
      </c>
      <c r="C24" s="73"/>
      <c r="D24" s="74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67</v>
      </c>
      <c r="C25" s="73"/>
      <c r="D25" s="74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68</v>
      </c>
      <c r="C26" s="73"/>
      <c r="D26" s="74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69</v>
      </c>
      <c r="C27" s="84"/>
      <c r="D27" s="85"/>
      <c r="E27" s="33">
        <f>SUM(E20:E26)</f>
        <v>-1148977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70</v>
      </c>
      <c r="C28" s="84"/>
      <c r="D28" s="85"/>
      <c r="E28" s="33">
        <f>E15+E19+E27</f>
        <v>0.86258779745548964</v>
      </c>
      <c r="F28" s="16" t="s">
        <v>4</v>
      </c>
      <c r="G28" s="31">
        <f>IF(E28&lt;0,0,-E28)</f>
        <v>-0.86258779745548964</v>
      </c>
      <c r="H28" s="16" t="s">
        <v>4</v>
      </c>
      <c r="I28" s="1"/>
    </row>
    <row r="29" spans="1:9" x14ac:dyDescent="0.25">
      <c r="A29" s="1"/>
      <c r="B29" s="69" t="s">
        <v>71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71</v>
      </c>
      <c r="C30" s="84"/>
      <c r="D30" s="85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4" t="s">
        <v>114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115</v>
      </c>
      <c r="C32" s="73"/>
      <c r="D32" s="74"/>
      <c r="E32" s="36">
        <v>3254746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72</v>
      </c>
      <c r="C33" s="80"/>
      <c r="D33" s="81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73</v>
      </c>
      <c r="C34" s="73"/>
      <c r="D34" s="74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74</v>
      </c>
      <c r="C35" s="84"/>
      <c r="D35" s="85"/>
      <c r="E35" s="33">
        <f>SUM(E32:E34)</f>
        <v>3254746</v>
      </c>
      <c r="F35" s="16" t="s">
        <v>4</v>
      </c>
      <c r="G35" s="33">
        <f>-E35</f>
        <v>-3254746</v>
      </c>
      <c r="H35" s="16" t="s">
        <v>4</v>
      </c>
      <c r="I35" s="1"/>
    </row>
    <row r="36" spans="1:9" x14ac:dyDescent="0.25">
      <c r="A36" s="1"/>
      <c r="B36" s="69" t="s">
        <v>50</v>
      </c>
      <c r="C36" s="70"/>
      <c r="D36" s="70"/>
      <c r="E36" s="70"/>
      <c r="F36" s="71"/>
      <c r="G36" s="34">
        <f>$G$9+$G$28+$G$30+$G$35</f>
        <v>-204403.86258779746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2">
        <f>'Fane 3. Grundlag'!G12</f>
        <v>5337203.464160379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20">
        <f>'Fane 3. Grundlag'!G11</f>
        <v>2733926.6754438598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28</v>
      </c>
      <c r="C11" s="80"/>
      <c r="D11" s="81"/>
      <c r="E11" s="20">
        <f>'Fane 4. Generelt eff.krav'!G11</f>
        <v>44255.705408180824</v>
      </c>
      <c r="F11" s="7" t="s">
        <v>4</v>
      </c>
      <c r="G11" s="14"/>
      <c r="H11" s="15"/>
      <c r="I11" s="1"/>
    </row>
    <row r="12" spans="1:9" x14ac:dyDescent="0.25">
      <c r="A12" s="1"/>
      <c r="B12" s="83" t="s">
        <v>43</v>
      </c>
      <c r="C12" s="84"/>
      <c r="D12" s="85"/>
      <c r="E12" s="33">
        <f>$E$9-$E$11</f>
        <v>5292947.758752198</v>
      </c>
      <c r="F12" s="17" t="s">
        <v>4</v>
      </c>
      <c r="G12" s="33">
        <f>E12</f>
        <v>5292947.758752198</v>
      </c>
      <c r="H12" s="17" t="s">
        <v>4</v>
      </c>
      <c r="I12" s="1"/>
    </row>
    <row r="13" spans="1:9" x14ac:dyDescent="0.25">
      <c r="A13" s="1"/>
      <c r="B13" s="69" t="s">
        <v>32</v>
      </c>
      <c r="C13" s="70"/>
      <c r="D13" s="70"/>
      <c r="E13" s="70"/>
      <c r="F13" s="70"/>
      <c r="G13" s="70"/>
      <c r="H13" s="71"/>
      <c r="I13" s="1"/>
    </row>
    <row r="14" spans="1:9" x14ac:dyDescent="0.25">
      <c r="A14" s="1"/>
      <c r="B14" s="75" t="s">
        <v>106</v>
      </c>
      <c r="C14" s="76"/>
      <c r="D14" s="77"/>
      <c r="E14" s="33">
        <f>'Fane 5. Hist. over el. underdæk'!G13</f>
        <v>-1081995.5</v>
      </c>
      <c r="F14" s="17" t="s">
        <v>4</v>
      </c>
      <c r="G14" s="33">
        <f>E14</f>
        <v>-1081995.5</v>
      </c>
      <c r="H14" s="17" t="s">
        <v>4</v>
      </c>
      <c r="I14" s="1"/>
    </row>
    <row r="15" spans="1:9" x14ac:dyDescent="0.25">
      <c r="A15" s="1"/>
      <c r="B15" s="69" t="s">
        <v>29</v>
      </c>
      <c r="C15" s="70"/>
      <c r="D15" s="70"/>
      <c r="E15" s="70"/>
      <c r="F15" s="70"/>
      <c r="G15" s="70"/>
      <c r="H15" s="71"/>
      <c r="I15" s="1"/>
    </row>
    <row r="16" spans="1:9" x14ac:dyDescent="0.25">
      <c r="A16" s="1"/>
      <c r="B16" s="72" t="s">
        <v>35</v>
      </c>
      <c r="C16" s="73"/>
      <c r="D16" s="74"/>
      <c r="E16" s="20">
        <f>'Fane 7. Korrektion af PL2015'!G11</f>
        <v>151146</v>
      </c>
      <c r="F16" s="7" t="s">
        <v>4</v>
      </c>
      <c r="G16" s="19"/>
      <c r="H16" s="9"/>
      <c r="I16" s="1"/>
    </row>
    <row r="17" spans="1:9" x14ac:dyDescent="0.25">
      <c r="A17" s="1"/>
      <c r="B17" s="72" t="s">
        <v>36</v>
      </c>
      <c r="C17" s="73"/>
      <c r="D17" s="74"/>
      <c r="E17" s="20">
        <f>'Fane 7. Korrektion af PL2015'!G17</f>
        <v>329577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2" t="s">
        <v>99</v>
      </c>
      <c r="C18" s="73"/>
      <c r="D18" s="74"/>
      <c r="E18" s="20">
        <f>'Fane 7. Korrektion af PL2015'!G23</f>
        <v>-1233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2" t="s">
        <v>37</v>
      </c>
      <c r="C19" s="73"/>
      <c r="D19" s="74"/>
      <c r="E19" s="20">
        <f>'Fane 7. Korrektion af PL2015'!G30</f>
        <v>36581.440000000002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516071.44</v>
      </c>
      <c r="F20" s="17" t="s">
        <v>4</v>
      </c>
      <c r="G20" s="33">
        <f>E20</f>
        <v>516071.44</v>
      </c>
      <c r="H20" s="17" t="s">
        <v>4</v>
      </c>
      <c r="I20" s="1"/>
    </row>
    <row r="21" spans="1:9" x14ac:dyDescent="0.25">
      <c r="A21" s="1"/>
      <c r="B21" s="69" t="s">
        <v>33</v>
      </c>
      <c r="C21" s="70"/>
      <c r="D21" s="70"/>
      <c r="E21" s="70"/>
      <c r="F21" s="70"/>
      <c r="G21" s="70"/>
      <c r="H21" s="71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-204403.86258779746</v>
      </c>
      <c r="F22" s="17" t="s">
        <v>4</v>
      </c>
      <c r="G22" s="33">
        <f>E22</f>
        <v>-204403.86258779746</v>
      </c>
      <c r="H22" s="17" t="s">
        <v>4</v>
      </c>
      <c r="I22" s="1"/>
    </row>
    <row r="23" spans="1:9" x14ac:dyDescent="0.25">
      <c r="A23" s="1"/>
      <c r="B23" s="69" t="s">
        <v>39</v>
      </c>
      <c r="C23" s="70"/>
      <c r="D23" s="70"/>
      <c r="E23" s="70"/>
      <c r="F23" s="71"/>
      <c r="G23" s="34">
        <f>G12+G14+G20+G22</f>
        <v>4522619.8361644009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5">
        <f>'Fane 2.1. Økonomisk ramme 2017'!$E$9-'Fane 2.1. Økonomisk ramme 2017'!$E$11</f>
        <v>5292947.758752198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2.1. Økonomisk ramme 2017'!$E$10</f>
        <v>2733926.6754438598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67220.436536152905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44055.851068128024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5316112.3442202229</v>
      </c>
      <c r="F13" s="17" t="s">
        <v>4</v>
      </c>
      <c r="G13" s="33">
        <f>E13</f>
        <v>5316112.3442202229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underdæk'!$G$12&gt;1,'Fane 5. Hist. over el. underdæk'!$G$13,0)</f>
        <v>-1081995.5</v>
      </c>
      <c r="F15" s="17" t="s">
        <v>4</v>
      </c>
      <c r="G15" s="33">
        <f>E15</f>
        <v>-1081995.5</v>
      </c>
      <c r="H15" s="17" t="s">
        <v>4</v>
      </c>
      <c r="I15" s="1"/>
    </row>
    <row r="16" spans="1:9" x14ac:dyDescent="0.25">
      <c r="A16" s="1"/>
      <c r="B16" s="69" t="s">
        <v>42</v>
      </c>
      <c r="C16" s="70"/>
      <c r="D16" s="70"/>
      <c r="E16" s="70"/>
      <c r="F16" s="71"/>
      <c r="G16" s="34">
        <f>G13+G15</f>
        <v>4234116.8442202229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44</v>
      </c>
      <c r="C9" s="73"/>
      <c r="D9" s="74"/>
      <c r="E9" s="35">
        <f>'Fane 2.2. Økonomisk ramme 2018'!$E$9*1.0127-'Fane 2.2. Økonomisk ramme 2018'!$E$12</f>
        <v>5316112.3442202229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2.2. Økonomisk ramme 2018'!$E$10*1.0127</f>
        <v>2768647.5442219968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67514.626771596828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43856.899250289462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5339770.0717415307</v>
      </c>
      <c r="F13" s="17" t="s">
        <v>4</v>
      </c>
      <c r="G13" s="33">
        <f>E13</f>
        <v>5339770.0717415307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underdæk'!$G$12&gt;2,'Fane 5. Hist. over el. underdæk'!$G$13,0)</f>
        <v>-1081995.5</v>
      </c>
      <c r="F15" s="17" t="s">
        <v>4</v>
      </c>
      <c r="G15" s="33">
        <f>E15</f>
        <v>-1081995.5</v>
      </c>
      <c r="H15" s="17" t="s">
        <v>4</v>
      </c>
      <c r="I15" s="1"/>
    </row>
    <row r="16" spans="1:9" x14ac:dyDescent="0.25">
      <c r="A16" s="1"/>
      <c r="B16" s="69" t="s">
        <v>45</v>
      </c>
      <c r="C16" s="70"/>
      <c r="D16" s="70"/>
      <c r="E16" s="70"/>
      <c r="F16" s="71"/>
      <c r="G16" s="34">
        <f>G13+G15</f>
        <v>4257774.5717415307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46</v>
      </c>
      <c r="C9" s="73"/>
      <c r="D9" s="74"/>
      <c r="E9" s="35">
        <f>'Fane 2.3. Økonomisk ramme 2019'!$E$9*1.0127-'Fane 2.3. Økonomisk ramme 2019'!$E$12</f>
        <v>5339770.0717415297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2.3. Økonomisk ramme 2019'!$E$10*1.0127</f>
        <v>2803809.3680336159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67815.079911117427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43658.845878965076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5363926.305773682</v>
      </c>
      <c r="F13" s="17" t="s">
        <v>4</v>
      </c>
      <c r="G13" s="33">
        <f>E13</f>
        <v>5363926.305773682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underdæk'!$G$12&gt;3,'Fane 5. Hist. over el. underdæk'!$G$13,0)</f>
        <v>-1081995.5</v>
      </c>
      <c r="F15" s="17" t="s">
        <v>4</v>
      </c>
      <c r="G15" s="33">
        <f>E15</f>
        <v>-1081995.5</v>
      </c>
      <c r="H15" s="17" t="s">
        <v>4</v>
      </c>
      <c r="I15" s="1"/>
    </row>
    <row r="16" spans="1:9" x14ac:dyDescent="0.25">
      <c r="A16" s="1"/>
      <c r="B16" s="69" t="s">
        <v>47</v>
      </c>
      <c r="C16" s="70"/>
      <c r="D16" s="70"/>
      <c r="E16" s="70"/>
      <c r="F16" s="71"/>
      <c r="G16" s="34">
        <f>G13+G15</f>
        <v>4281930.805773682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48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100</v>
      </c>
      <c r="C9" s="80"/>
      <c r="D9" s="80"/>
      <c r="E9" s="80"/>
      <c r="F9" s="81"/>
      <c r="G9" s="36">
        <v>1325626.0333589814</v>
      </c>
      <c r="H9" s="10" t="s">
        <v>4</v>
      </c>
      <c r="I9" s="1"/>
    </row>
    <row r="10" spans="1:9" x14ac:dyDescent="0.25">
      <c r="A10" s="1"/>
      <c r="B10" s="79" t="s">
        <v>101</v>
      </c>
      <c r="C10" s="80"/>
      <c r="D10" s="80"/>
      <c r="E10" s="80"/>
      <c r="F10" s="81"/>
      <c r="G10" s="36">
        <v>1277650.7553575383</v>
      </c>
      <c r="H10" s="10" t="s">
        <v>4</v>
      </c>
      <c r="I10" s="1"/>
    </row>
    <row r="11" spans="1:9" x14ac:dyDescent="0.25">
      <c r="A11" s="1"/>
      <c r="B11" s="79" t="s">
        <v>102</v>
      </c>
      <c r="C11" s="80"/>
      <c r="D11" s="80"/>
      <c r="E11" s="80"/>
      <c r="F11" s="81"/>
      <c r="G11" s="36">
        <v>2733926.6754438598</v>
      </c>
      <c r="H11" s="10" t="s">
        <v>4</v>
      </c>
      <c r="I11" s="1"/>
    </row>
    <row r="12" spans="1:9" x14ac:dyDescent="0.25">
      <c r="A12" s="1"/>
      <c r="B12" s="69" t="s">
        <v>48</v>
      </c>
      <c r="C12" s="70"/>
      <c r="D12" s="70"/>
      <c r="E12" s="70"/>
      <c r="F12" s="71"/>
      <c r="G12" s="34">
        <f>SUM(G9:G11)</f>
        <v>5337203.464160379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108</v>
      </c>
      <c r="C9" s="80"/>
      <c r="D9" s="80"/>
      <c r="E9" s="80"/>
      <c r="F9" s="81"/>
      <c r="G9" s="20">
        <f>'Fane 3. Grundlag'!G12-'Fane 3. Grundlag'!G11</f>
        <v>2603276.7887165193</v>
      </c>
      <c r="H9" s="10" t="s">
        <v>4</v>
      </c>
      <c r="I9" s="1"/>
    </row>
    <row r="10" spans="1:9" x14ac:dyDescent="0.25">
      <c r="A10" s="1"/>
      <c r="B10" s="79" t="s">
        <v>28</v>
      </c>
      <c r="C10" s="80"/>
      <c r="D10" s="80"/>
      <c r="E10" s="80"/>
      <c r="F10" s="81"/>
      <c r="G10" s="44">
        <f>1.7</f>
        <v>1.7</v>
      </c>
      <c r="H10" s="10" t="s">
        <v>75</v>
      </c>
      <c r="I10" s="1"/>
    </row>
    <row r="11" spans="1:9" x14ac:dyDescent="0.25">
      <c r="A11" s="1"/>
      <c r="B11" s="69" t="s">
        <v>28</v>
      </c>
      <c r="C11" s="70"/>
      <c r="D11" s="70"/>
      <c r="E11" s="70"/>
      <c r="F11" s="71"/>
      <c r="G11" s="34">
        <f>$G$9*$G$10/100</f>
        <v>44255.705408180824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77</v>
      </c>
      <c r="C9" s="80"/>
      <c r="D9" s="80"/>
      <c r="E9" s="80"/>
      <c r="F9" s="81"/>
      <c r="G9" s="36">
        <v>-10839092</v>
      </c>
      <c r="H9" s="10" t="s">
        <v>4</v>
      </c>
      <c r="I9" s="1"/>
    </row>
    <row r="10" spans="1:9" x14ac:dyDescent="0.25">
      <c r="A10" s="1"/>
      <c r="B10" s="79" t="s">
        <v>78</v>
      </c>
      <c r="C10" s="80"/>
      <c r="D10" s="80"/>
      <c r="E10" s="80"/>
      <c r="F10" s="81"/>
      <c r="G10" s="36">
        <v>-6511110</v>
      </c>
      <c r="H10" s="10" t="s">
        <v>4</v>
      </c>
      <c r="I10" s="1"/>
    </row>
    <row r="11" spans="1:9" x14ac:dyDescent="0.25">
      <c r="A11" s="1"/>
      <c r="B11" s="86" t="s">
        <v>92</v>
      </c>
      <c r="C11" s="87"/>
      <c r="D11" s="87"/>
      <c r="E11" s="87"/>
      <c r="F11" s="88"/>
      <c r="G11" s="38">
        <v>-4327982</v>
      </c>
      <c r="H11" s="23" t="s">
        <v>4</v>
      </c>
      <c r="I11" s="1"/>
    </row>
    <row r="12" spans="1:9" x14ac:dyDescent="0.25">
      <c r="A12" s="1"/>
      <c r="B12" s="79" t="s">
        <v>79</v>
      </c>
      <c r="C12" s="80"/>
      <c r="D12" s="80"/>
      <c r="E12" s="80"/>
      <c r="F12" s="81"/>
      <c r="G12" s="36">
        <v>4</v>
      </c>
      <c r="H12" s="10" t="s">
        <v>4</v>
      </c>
      <c r="I12" s="1"/>
    </row>
    <row r="13" spans="1:9" x14ac:dyDescent="0.25">
      <c r="A13" s="1"/>
      <c r="B13" s="69" t="s">
        <v>76</v>
      </c>
      <c r="C13" s="70"/>
      <c r="D13" s="70"/>
      <c r="E13" s="70"/>
      <c r="F13" s="71"/>
      <c r="G13" s="34">
        <f>G11/G12</f>
        <v>-1081995.5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118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6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2" t="s">
        <v>0</v>
      </c>
      <c r="C9" s="17" t="s">
        <v>1</v>
      </c>
      <c r="D9" s="24" t="s">
        <v>2</v>
      </c>
      <c r="E9" s="24" t="s">
        <v>80</v>
      </c>
      <c r="F9" s="89" t="s">
        <v>3</v>
      </c>
      <c r="G9" s="89"/>
      <c r="H9" s="1"/>
    </row>
    <row r="10" spans="1:8" x14ac:dyDescent="0.25">
      <c r="A10" s="1"/>
      <c r="B10" s="43" t="s">
        <v>110</v>
      </c>
      <c r="C10" s="39">
        <v>2015</v>
      </c>
      <c r="D10" s="39">
        <v>5</v>
      </c>
      <c r="E10" s="36">
        <v>168070</v>
      </c>
      <c r="F10" s="20">
        <f>E10/D10</f>
        <v>33614</v>
      </c>
      <c r="G10" s="10" t="s">
        <v>4</v>
      </c>
      <c r="H10" s="1"/>
    </row>
    <row r="11" spans="1:8" ht="26.25" x14ac:dyDescent="0.25">
      <c r="A11" s="1"/>
      <c r="B11" s="43" t="s">
        <v>111</v>
      </c>
      <c r="C11" s="39">
        <v>2015</v>
      </c>
      <c r="D11" s="39">
        <v>10</v>
      </c>
      <c r="E11" s="36">
        <v>355494</v>
      </c>
      <c r="F11" s="20">
        <f t="shared" ref="F11:F13" si="0">E11/D11</f>
        <v>35549.4</v>
      </c>
      <c r="G11" s="10" t="s">
        <v>4</v>
      </c>
      <c r="H11" s="1"/>
    </row>
    <row r="12" spans="1:8" x14ac:dyDescent="0.25">
      <c r="A12" s="1"/>
      <c r="B12" s="43" t="s">
        <v>112</v>
      </c>
      <c r="C12" s="39">
        <v>2015</v>
      </c>
      <c r="D12" s="39">
        <v>5</v>
      </c>
      <c r="E12" s="36">
        <v>20820</v>
      </c>
      <c r="F12" s="20">
        <f t="shared" si="0"/>
        <v>4164</v>
      </c>
      <c r="G12" s="10" t="s">
        <v>4</v>
      </c>
      <c r="H12" s="1"/>
    </row>
    <row r="13" spans="1:8" x14ac:dyDescent="0.25">
      <c r="A13" s="1"/>
      <c r="B13" s="43" t="s">
        <v>113</v>
      </c>
      <c r="C13" s="39">
        <v>2015</v>
      </c>
      <c r="D13" s="39">
        <v>75</v>
      </c>
      <c r="E13" s="36">
        <v>870999</v>
      </c>
      <c r="F13" s="20">
        <f t="shared" si="0"/>
        <v>11613.32</v>
      </c>
      <c r="G13" s="10" t="s">
        <v>4</v>
      </c>
      <c r="H13" s="1"/>
    </row>
    <row r="14" spans="1:8" x14ac:dyDescent="0.25">
      <c r="A14" s="1"/>
      <c r="B14" s="69" t="s">
        <v>5</v>
      </c>
      <c r="C14" s="70"/>
      <c r="D14" s="70"/>
      <c r="E14" s="71"/>
      <c r="F14" s="34">
        <f>SUM(F10:F13)</f>
        <v>84940.72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2016-10-19T21:06:02Z</dcterms:modified>
</cp:coreProperties>
</file>