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320" yWindow="105" windowWidth="20070" windowHeight="1042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1" i="9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6" i="11" s="1"/>
  <c r="G29" i="12" s="1"/>
  <c r="F12" i="11"/>
  <c r="F13" i="11"/>
  <c r="F14" i="11"/>
  <c r="F15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11" i="2" s="1"/>
  <c r="E9" i="2"/>
  <c r="E9" i="4" l="1"/>
  <c r="E12" i="2"/>
  <c r="G12" i="2"/>
  <c r="G23" i="2"/>
  <c r="E12" i="4" l="1"/>
  <c r="E9" i="5"/>
  <c r="E11" i="4"/>
  <c r="E13" i="4" s="1"/>
  <c r="G13" i="4" s="1"/>
  <c r="G16" i="4" s="1"/>
  <c r="E11" i="5" l="1"/>
  <c r="E12" i="5"/>
  <c r="E9" i="6" s="1"/>
  <c r="E12" i="6" l="1"/>
  <c r="E11" i="6"/>
  <c r="E13" i="6" s="1"/>
  <c r="G13" i="6" s="1"/>
  <c r="G16" i="6" s="1"/>
  <c r="E13" i="5"/>
  <c r="G13" i="5" s="1"/>
  <c r="G16" i="5" s="1"/>
</calcChain>
</file>

<file path=xl/sharedStrings.xml><?xml version="1.0" encoding="utf-8"?>
<sst xmlns="http://schemas.openxmlformats.org/spreadsheetml/2006/main" count="254" uniqueCount="124">
  <si>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</si>
  <si>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</si>
  <si>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</si>
  <si>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</si>
  <si>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</si>
  <si>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</si>
  <si>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</si>
  <si>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</si>
  <si>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</si>
  <si>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</si>
  <si>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</si>
  <si>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</si>
  <si>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</si>
  <si>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</si>
  <si>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</si>
  <si>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</si>
  <si>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</si>
  <si>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</si>
  <si>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</si>
  <si>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</si>
  <si>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</si>
  <si>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</si>
  <si>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</si>
  <si>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</si>
  <si>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</si>
  <si>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</si>
  <si>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</si>
  <si>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</si>
  <si>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</si>
  <si>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</si>
  <si>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</si>
  <si>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</si>
  <si>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</si>
  <si>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</si>
  <si>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</si>
  <si>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</si>
  <si>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</si>
  <si>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</si>
  <si>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</si>
  <si>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</si>
  <si>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</si>
  <si>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</si>
  <si>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</si>
  <si>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</si>
  <si>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</si>
  <si>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</si>
  <si>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</si>
  <si>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</si>
  <si>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</si>
  <si>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</si>
  <si>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</si>
  <si>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</si>
  <si>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</si>
  <si>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</si>
  <si>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</si>
  <si>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</si>
  <si>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</si>
  <si>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</si>
  <si>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</si>
  <si>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</si>
  <si>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</si>
  <si>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</si>
  <si>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</si>
  <si>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</si>
  <si>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</si>
  <si>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</si>
  <si>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</si>
  <si>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</si>
  <si>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</si>
  <si>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</si>
  <si>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</si>
  <si>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</si>
  <si>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</si>
  <si>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</si>
  <si>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</si>
  <si>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</si>
  <si>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</si>
  <si>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</si>
  <si>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</si>
  <si>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</si>
  <si>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</si>
  <si>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</si>
  <si>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</si>
  <si>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</si>
  <si>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</si>
  <si>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</si>
  <si>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</si>
  <si>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</si>
  <si>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</si>
  <si>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</si>
  <si>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</si>
  <si>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</si>
  <si>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</si>
  <si>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</si>
  <si>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</si>
  <si>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</si>
  <si>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</si>
  <si>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</si>
  <si>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</si>
  <si>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</si>
  <si>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</si>
  <si>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</si>
  <si>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</si>
  <si>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</si>
  <si>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</si>
  <si>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</si>
  <si>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</si>
  <si>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</si>
  <si>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</si>
  <si>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</si>
  <si>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Laboratorium (bygning, inkl. inventar+udstyr), Mek./EL</t>
  </si>
  <si>
    <t>Ø 50mm &lt; Ledningsnet ≤ Ø110 mm</t>
  </si>
  <si>
    <t>Afregningsmålere, elektroniske ≤ Ø 110mm (Qn 10)</t>
  </si>
  <si>
    <t>Arbejdsplads</t>
  </si>
  <si>
    <t>Filteranlæg, åbne filtre, enkelt filtrering, Kontruktioner</t>
  </si>
  <si>
    <t>Boring (inkl. etablering, forerør, filter og prøvepumpning)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</si>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</sst>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121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1545005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1432000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113005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15339.18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-30000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45339.18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60250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92000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2015'!F16</f>
        <v>124293.99333333335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96337.986666666693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122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5216334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1613069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469890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0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154543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2237502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1453120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20478.66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1473598.66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0" t="s">
        <v>62</v>
      </c>
      <c r="C20" s="71"/>
      <c r="D20" s="72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0" t="s">
        <v>63</v>
      </c>
      <c r="C21" s="71"/>
      <c r="D21" s="72"/>
      <c r="E21" s="36">
        <v>-2266117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0" t="s">
        <v>66</v>
      </c>
      <c r="C24" s="71"/>
      <c r="D24" s="72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0" t="s">
        <v>67</v>
      </c>
      <c r="C25" s="71"/>
      <c r="D25" s="72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0" t="s">
        <v>68</v>
      </c>
      <c r="C26" s="71"/>
      <c r="D26" s="72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-2266117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1444983.6600000001</v>
      </c>
      <c r="F28" s="16" t="s">
        <v>4</v>
      </c>
      <c r="G28" s="31">
        <f>IF(E28&lt;0,0,-E28)</f>
        <v>-1444983.6600000001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116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70" t="s">
        <v>117</v>
      </c>
      <c r="C32" s="71"/>
      <c r="D32" s="72"/>
      <c r="E32" s="36">
        <v>3890850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0" t="s">
        <v>73</v>
      </c>
      <c r="C34" s="71"/>
      <c r="D34" s="72"/>
      <c r="E34" s="36">
        <v>75103.42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3965953.42</v>
      </c>
      <c r="F35" s="16" t="s">
        <v>4</v>
      </c>
      <c r="G35" s="33">
        <f>-E35</f>
        <v>-3965953.42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-194603.08000000007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topLeftCell="A7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123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70" t="s">
        <v>31</v>
      </c>
      <c r="C9" s="71"/>
      <c r="D9" s="72"/>
      <c r="E9" s="32">
        <f>'Fane 3. Grundlag'!G12</f>
        <v>6065383.0723415669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1519411.4285791998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77281.517943960236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5988101.5543976063</v>
      </c>
      <c r="F12" s="17" t="s">
        <v>4</v>
      </c>
      <c r="G12" s="33">
        <f>E12</f>
        <v>5988101.5543976063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67" t="s">
        <v>106</v>
      </c>
      <c r="C14" s="68"/>
      <c r="D14" s="69"/>
      <c r="E14" s="33">
        <f>'Fane 5. Hist. over el. underdæk'!G13</f>
        <v>-567269.75</v>
      </c>
      <c r="F14" s="17" t="s">
        <v>4</v>
      </c>
      <c r="G14" s="33">
        <f>E14</f>
        <v>-567269.75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70" t="s">
        <v>35</v>
      </c>
      <c r="C16" s="71"/>
      <c r="D16" s="72"/>
      <c r="E16" s="20">
        <f>'Fane 7. Korrektion af PL2015'!G11</f>
        <v>113005</v>
      </c>
      <c r="F16" s="7" t="s">
        <v>4</v>
      </c>
      <c r="G16" s="19"/>
      <c r="H16" s="9"/>
      <c r="I16" s="1"/>
    </row>
    <row r="17" spans="1:9" x14ac:dyDescent="0.25">
      <c r="A17" s="1"/>
      <c r="B17" s="70" t="s">
        <v>36</v>
      </c>
      <c r="C17" s="71"/>
      <c r="D17" s="72"/>
      <c r="E17" s="20">
        <f>'Fane 7. Korrektion af PL2015'!G17</f>
        <v>45339.18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70" t="s">
        <v>99</v>
      </c>
      <c r="C18" s="71"/>
      <c r="D18" s="72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70" t="s">
        <v>37</v>
      </c>
      <c r="C19" s="71"/>
      <c r="D19" s="72"/>
      <c r="E19" s="20">
        <f>'Fane 7. Korrektion af PL2015'!G30</f>
        <v>96337.986666666693</v>
      </c>
      <c r="F19" s="7" t="s">
        <v>4</v>
      </c>
      <c r="G19" s="14"/>
      <c r="H19" s="15"/>
      <c r="I19" s="1"/>
    </row>
    <row r="20" spans="1:9" x14ac:dyDescent="0.25">
      <c r="A20" s="1"/>
      <c r="B20" s="67" t="s">
        <v>38</v>
      </c>
      <c r="C20" s="68"/>
      <c r="D20" s="69"/>
      <c r="E20" s="33">
        <f>SUM(E16:E19)</f>
        <v>254682.16666666669</v>
      </c>
      <c r="F20" s="17" t="s">
        <v>4</v>
      </c>
      <c r="G20" s="33">
        <f>E20</f>
        <v>254682.16666666669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67" t="s">
        <v>34</v>
      </c>
      <c r="C22" s="68"/>
      <c r="D22" s="69"/>
      <c r="E22" s="33">
        <f>'Fane 8. Kontrol af PL2015'!G36</f>
        <v>-194603.08000000007</v>
      </c>
      <c r="F22" s="17" t="s">
        <v>4</v>
      </c>
      <c r="G22" s="33">
        <f>E22</f>
        <v>-194603.08000000007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5480910.8910642732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40</v>
      </c>
      <c r="C9" s="71"/>
      <c r="D9" s="72"/>
      <c r="E9" s="35">
        <f>'Fane 2.1. Økonomisk ramme 2017'!$E$9-'Fane 2.1. Økonomisk ramme 2017'!$E$11</f>
        <v>5988101.5543976063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1519411.4285791998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76048.889740849598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76932.522337077098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5987217.921801379</v>
      </c>
      <c r="F13" s="17" t="s">
        <v>4</v>
      </c>
      <c r="G13" s="33">
        <f>E13</f>
        <v>5987217.921801379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underdæk'!$G$12&gt;1,'Fane 5. Hist. over el. underdæk'!$G$13,0)</f>
        <v>-567269.75</v>
      </c>
      <c r="F15" s="17" t="s">
        <v>4</v>
      </c>
      <c r="G15" s="33">
        <f>E15</f>
        <v>-567269.75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5419948.171801379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44</v>
      </c>
      <c r="C9" s="71"/>
      <c r="D9" s="72"/>
      <c r="E9" s="35">
        <f>'Fane 2.2. Økonomisk ramme 2018'!$E$9*1.0127-'Fane 2.2. Økonomisk ramme 2018'!$E$12</f>
        <v>5987217.921801378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1538707.9537221557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76037.667606877498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76585.102759455083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5986670.4866487999</v>
      </c>
      <c r="F13" s="17" t="s">
        <v>4</v>
      </c>
      <c r="G13" s="33">
        <f>E13</f>
        <v>5986670.4866487999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underdæk'!$G$12&gt;2,'Fane 5. Hist. over el. underdæk'!$G$13,0)</f>
        <v>-567269.75</v>
      </c>
      <c r="F15" s="17" t="s">
        <v>4</v>
      </c>
      <c r="G15" s="33">
        <f>E15</f>
        <v>-567269.75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5419400.7366487999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107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0" t="s">
        <v>46</v>
      </c>
      <c r="C9" s="71"/>
      <c r="D9" s="72"/>
      <c r="E9" s="35">
        <f>'Fane 2.3. Økonomisk ramme 2019'!$E$9*1.0127-'Fane 2.3. Økonomisk ramme 2019'!$E$12</f>
        <v>5986670.4866487999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1558249.544734427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76030.715180439758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76239.252093903662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5986461.949735336</v>
      </c>
      <c r="F13" s="17" t="s">
        <v>4</v>
      </c>
      <c r="G13" s="33">
        <f>E13</f>
        <v>5986461.949735336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67" t="s">
        <v>106</v>
      </c>
      <c r="C15" s="68"/>
      <c r="D15" s="69"/>
      <c r="E15" s="37">
        <f>IF('Fane 5. Hist. over el. underdæk'!$G$12&gt;3,'Fane 5. Hist. over el. underdæk'!$G$13,0)</f>
        <v>-567269.75</v>
      </c>
      <c r="F15" s="17" t="s">
        <v>4</v>
      </c>
      <c r="G15" s="33">
        <f>E15</f>
        <v>-567269.75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5419192.199735336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48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1929571.2008453398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2616400.4429170275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1519411.4285791998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6065383.0723415669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4545971.6437623668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77281.517943960236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105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/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-1242596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-2269079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-567269.75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8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120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10</v>
      </c>
      <c r="E10" s="36">
        <v>138155</v>
      </c>
      <c r="F10" s="20">
        <f>E10/D10</f>
        <v>13815.5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1124427</v>
      </c>
      <c r="F11" s="20">
        <f t="shared" ref="F11:F15" si="0">E11/D11</f>
        <v>14992.36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10</v>
      </c>
      <c r="E12" s="36">
        <v>789468</v>
      </c>
      <c r="F12" s="20">
        <f t="shared" si="0"/>
        <v>78946.8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5</v>
      </c>
      <c r="E13" s="36">
        <v>29174</v>
      </c>
      <c r="F13" s="20">
        <f t="shared" si="0"/>
        <v>5834.8</v>
      </c>
      <c r="G13" s="10" t="s">
        <v>4</v>
      </c>
      <c r="H13" s="1"/>
    </row>
    <row r="14" spans="1:8" ht="26.25" x14ac:dyDescent="0.25">
      <c r="A14" s="1"/>
      <c r="B14" s="41" t="s">
        <v>114</v>
      </c>
      <c r="C14" s="39">
        <v>2015</v>
      </c>
      <c r="D14" s="39">
        <v>20</v>
      </c>
      <c r="E14" s="36">
        <v>97300</v>
      </c>
      <c r="F14" s="20">
        <f t="shared" si="0"/>
        <v>4865</v>
      </c>
      <c r="G14" s="10" t="s">
        <v>4</v>
      </c>
      <c r="H14" s="1"/>
    </row>
    <row r="15" spans="1:8" ht="26.25" x14ac:dyDescent="0.25">
      <c r="A15" s="1"/>
      <c r="B15" s="41" t="s">
        <v>115</v>
      </c>
      <c r="C15" s="39">
        <v>2015</v>
      </c>
      <c r="D15" s="39">
        <v>15</v>
      </c>
      <c r="E15" s="36">
        <v>87593</v>
      </c>
      <c r="F15" s="20">
        <f t="shared" si="0"/>
        <v>5839.5333333333338</v>
      </c>
      <c r="G15" s="10" t="s">
        <v>4</v>
      </c>
      <c r="H15" s="1"/>
    </row>
    <row r="16" spans="1:8" x14ac:dyDescent="0.25">
      <c r="A16" s="1"/>
      <c r="B16" s="73" t="s">
        <v>5</v>
      </c>
      <c r="C16" s="74"/>
      <c r="D16" s="74"/>
      <c r="E16" s="75"/>
      <c r="F16" s="34">
        <f>SUM(F10:F15)</f>
        <v>124293.99333333335</v>
      </c>
      <c r="G16" s="18" t="s">
        <v>4</v>
      </c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</sheetData>
  <sheetProtection password="C6BD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2016-10-17T19:43:52Z</dcterms:modified>
</cp:coreProperties>
</file>