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N2" i="18" l="1"/>
  <c r="C8" i="27" l="1"/>
  <c r="C9" i="27"/>
  <c r="E2" i="15" l="1"/>
  <c r="C3" i="16" l="1"/>
  <c r="F3" i="17" l="1"/>
  <c r="G3" i="17"/>
  <c r="C4" i="16" l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C5" i="16"/>
  <c r="J3" i="24"/>
  <c r="M3" i="24" s="1"/>
  <c r="C6" i="16"/>
  <c r="D3" i="16" l="1"/>
  <c r="B9" i="12"/>
  <c r="B10" i="12" s="1"/>
  <c r="H3" i="17"/>
  <c r="B4" i="12" s="1"/>
  <c r="I2" i="15"/>
  <c r="K2" i="15" s="1"/>
  <c r="B2" i="12" s="1"/>
  <c r="E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<sst xmlns="http://schemas.openxmlformats.org/spreadsheetml/2006/main" count="110" uniqueCount="75">
  <si>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</si>
  <si>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</si>
  <si>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</si>
  <si>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</si>
  <si>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</si>
  <si>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</si>
  <si>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</si>
  <si>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</si>
  <si>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</si>
  <si>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</si>
  <si>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</si>
  <si>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</si>
  <si>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</si>
  <si>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</si>
  <si>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</si>
  <si>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</si>
  <si>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</si>
  <si>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</si>
  <si>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</si>
  <si>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</si>
  <si>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</si>
  <si>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</si>
  <si>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SMS-service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</si>
  <si>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</si>
  <si>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</si>
  <si>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</si>
  <si>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</si>
  <si>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</si>
  <si>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</si>
  <si>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</si>
  <si>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</si>
  <si>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</si>
  <si>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</si>
  <si>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</si>
  <si>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</si>
  <si>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</si>
  <si>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</si>
  <si>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</si>
  <si>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Skattebetalinger (V)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</si>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</sst>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6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6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0" fillId="0" borderId="0" xfId="27368" applyNumberFormat="1" applyFont="1" applyBorder="1" applyAlignment="1">
      <alignment wrapText="1"/>
    </xf>
    <xf numFmtId="0" fontId="3" fillId="0" borderId="30" xfId="0" applyFont="1" applyBorder="1"/>
    <xf numFmtId="0" fontId="0" fillId="0" borderId="29" xfId="0" applyFont="1" applyBorder="1" applyAlignment="1">
      <alignment wrapText="1"/>
    </xf>
    <xf numFmtId="166" fontId="0" fillId="0" borderId="29" xfId="27368" applyNumberFormat="1" applyFont="1" applyBorder="1"/>
    <xf numFmtId="0" fontId="0" fillId="0" borderId="29" xfId="0" applyBorder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1903706.4222333331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11155.930799999998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37306.785066666664</v>
      </c>
      <c r="C4" t="s">
        <v>11</v>
      </c>
    </row>
    <row r="5" spans="1:3" s="26" customFormat="1" x14ac:dyDescent="0.25">
      <c r="A5" s="3" t="s">
        <v>12</v>
      </c>
      <c r="B5" s="48">
        <f>SUM(B2:B4)</f>
        <v>1952169.1380999996</v>
      </c>
      <c r="C5" s="62" t="s">
        <v>11</v>
      </c>
    </row>
    <row r="6" spans="1:3" x14ac:dyDescent="0.25">
      <c r="A6" s="47" t="s">
        <v>0</v>
      </c>
      <c r="B6" s="38">
        <f>Investeringer!E3</f>
        <v>2373322.7010708703</v>
      </c>
      <c r="C6" s="23" t="s">
        <v>11</v>
      </c>
    </row>
    <row r="7" spans="1:3" x14ac:dyDescent="0.25">
      <c r="A7" s="4" t="s">
        <v>1</v>
      </c>
      <c r="B7" s="35">
        <f>Investeringer!F3</f>
        <v>561781.26643882785</v>
      </c>
      <c r="C7" t="s">
        <v>11</v>
      </c>
    </row>
    <row r="8" spans="1:3" x14ac:dyDescent="0.25">
      <c r="A8" s="4" t="s">
        <v>2</v>
      </c>
      <c r="B8" s="35">
        <f>Investeringer!G3</f>
        <v>18533.333333333332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59149.428383999992</v>
      </c>
      <c r="C9" t="s">
        <v>11</v>
      </c>
    </row>
    <row r="10" spans="1:3" s="22" customFormat="1" x14ac:dyDescent="0.25">
      <c r="A10" s="3" t="s">
        <v>48</v>
      </c>
      <c r="B10" s="48">
        <f>SUM(B6:B9)</f>
        <v>3012786.7292270316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omkostninger'!N2</f>
        <v>2436208</v>
      </c>
      <c r="C11" t="s">
        <v>11</v>
      </c>
    </row>
    <row r="12" spans="1:3" s="22" customFormat="1" x14ac:dyDescent="0.25">
      <c r="A12" s="3" t="s">
        <v>69</v>
      </c>
      <c r="B12" s="48">
        <f>SUM(B11:B11)</f>
        <v>2436208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58</v>
      </c>
      <c r="B14" s="37">
        <f>SUM(B5,B10,B12)</f>
        <v>7401163.8673270307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52</v>
      </c>
      <c r="B16" s="37">
        <f>B14*Pristalsregulering!C8*Pristalsregulering!C9</f>
        <v>7466677.0455780039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59</v>
      </c>
      <c r="D1" s="59" t="s">
        <v>60</v>
      </c>
      <c r="E1" s="59" t="s">
        <v>53</v>
      </c>
      <c r="F1" s="52" t="s">
        <v>61</v>
      </c>
      <c r="G1" s="52" t="s">
        <v>70</v>
      </c>
      <c r="H1" s="52" t="s">
        <v>62</v>
      </c>
      <c r="I1" s="52" t="s">
        <v>49</v>
      </c>
      <c r="J1" s="11" t="s">
        <v>63</v>
      </c>
      <c r="K1" s="11" t="s">
        <v>64</v>
      </c>
    </row>
    <row r="2" spans="1:11" s="23" customFormat="1" ht="15.75" thickTop="1" x14ac:dyDescent="0.25">
      <c r="A2" s="28">
        <v>2015</v>
      </c>
      <c r="B2" s="49">
        <v>1926667</v>
      </c>
      <c r="C2" s="49">
        <v>0</v>
      </c>
      <c r="D2" s="49">
        <f>B2+C2</f>
        <v>1926667</v>
      </c>
      <c r="E2" s="50">
        <f>D2</f>
        <v>1926667</v>
      </c>
      <c r="F2" s="49">
        <v>2180719.6734837941</v>
      </c>
      <c r="G2" s="49">
        <v>0</v>
      </c>
      <c r="H2" s="49">
        <f>F2-G2</f>
        <v>2180719.6734837941</v>
      </c>
      <c r="I2" s="49">
        <f>AVERAGEIF(E2:E4,"&lt;&gt;0")</f>
        <v>1903706.4222333331</v>
      </c>
      <c r="J2" s="49">
        <v>1687857.6542521066</v>
      </c>
      <c r="K2" s="39">
        <f>IF(H2&gt;I2,IF(I2&gt;J2,I2,J2),H2)</f>
        <v>1903706.4222333331</v>
      </c>
    </row>
    <row r="3" spans="1:11" s="23" customFormat="1" x14ac:dyDescent="0.25">
      <c r="A3" s="28">
        <v>2014</v>
      </c>
      <c r="B3" s="49">
        <v>1752366</v>
      </c>
      <c r="C3" s="49"/>
      <c r="D3" s="49">
        <f t="shared" ref="D3:D4" si="0">B3+C3</f>
        <v>1752366</v>
      </c>
      <c r="E3" s="50">
        <f>D3*Pristalsregulering!C7</f>
        <v>1753767.8927999998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1999075</v>
      </c>
      <c r="C4" s="49"/>
      <c r="D4" s="49">
        <f t="shared" si="0"/>
        <v>1999075</v>
      </c>
      <c r="E4" s="50">
        <f>D4*Pristalsregulering!$C$6*Pristalsregulering!$C$7</f>
        <v>2030684.3738999995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3" width="30.7109375" style="55" customWidth="1"/>
    <col min="4" max="4" width="30.7109375" style="76" customWidth="1"/>
    <col min="5" max="5" width="30.7109375" style="55" customWidth="1"/>
    <col min="6" max="6" width="9.140625" hidden="1" customWidth="1"/>
    <col min="7" max="94" width="0" hidden="1" customWidth="1"/>
    <col min="95" max="95" width="9.140625" hidden="1" customWidth="1"/>
    <col min="96" max="117" width="0" hidden="1" customWidth="1"/>
    <col min="118" max="118" width="9.140625" hidden="1" customWidth="1"/>
    <col min="119" max="206" width="0" hidden="1" customWidth="1"/>
    <col min="207" max="207" width="9.140625" hidden="1" customWidth="1"/>
    <col min="208" max="229" width="0" hidden="1" customWidth="1"/>
    <col min="230" max="230" width="9.140625" hidden="1" customWidth="1"/>
    <col min="231" max="318" width="0" hidden="1" customWidth="1"/>
    <col min="319" max="319" width="9.140625" hidden="1" customWidth="1"/>
    <col min="320" max="341" width="0" hidden="1" customWidth="1"/>
    <col min="342" max="16384" width="9.140625" hidden="1"/>
  </cols>
  <sheetData>
    <row r="1" spans="1:5" s="27" customFormat="1" ht="15.75" thickBot="1" x14ac:dyDescent="0.3">
      <c r="A1" s="9"/>
      <c r="B1" s="33" t="s">
        <v>72</v>
      </c>
      <c r="C1" s="63" t="s">
        <v>73</v>
      </c>
      <c r="D1" s="73" t="s">
        <v>74</v>
      </c>
      <c r="E1" s="63"/>
    </row>
    <row r="2" spans="1:5" ht="15.75" thickTop="1" x14ac:dyDescent="0.25">
      <c r="A2" s="17" t="s">
        <v>13</v>
      </c>
      <c r="B2" s="34" t="s">
        <v>22</v>
      </c>
      <c r="C2" s="56" t="s">
        <v>22</v>
      </c>
      <c r="D2" s="74" t="s">
        <v>22</v>
      </c>
      <c r="E2" s="53" t="s">
        <v>23</v>
      </c>
    </row>
    <row r="3" spans="1:5" s="22" customFormat="1" x14ac:dyDescent="0.25">
      <c r="A3" s="28">
        <v>2016</v>
      </c>
      <c r="B3" s="72"/>
      <c r="C3" s="45">
        <f>B3</f>
        <v>0</v>
      </c>
      <c r="D3" s="75">
        <f>IF(C4=0,0,AVERAGEIF(C4:C6,"&lt;&gt;0"))+C3</f>
        <v>11155.930799999998</v>
      </c>
      <c r="E3" s="57">
        <f>SUM(D3:D3)</f>
        <v>11155.930799999998</v>
      </c>
    </row>
    <row r="4" spans="1:5" x14ac:dyDescent="0.25">
      <c r="A4" s="28">
        <v>2015</v>
      </c>
      <c r="B4" s="35">
        <v>12477</v>
      </c>
      <c r="C4" s="45">
        <f>B4</f>
        <v>12477</v>
      </c>
      <c r="D4" s="75"/>
      <c r="E4" s="54"/>
    </row>
    <row r="5" spans="1:5" x14ac:dyDescent="0.25">
      <c r="A5" s="28">
        <v>2014</v>
      </c>
      <c r="B5" s="35">
        <v>9827</v>
      </c>
      <c r="C5" s="45">
        <f>B5*Pristalsregulering!$C$7</f>
        <v>9834.8615999999984</v>
      </c>
      <c r="D5" s="75"/>
      <c r="E5" s="45"/>
    </row>
    <row r="6" spans="1:5" x14ac:dyDescent="0.25">
      <c r="A6" s="28">
        <v>2013</v>
      </c>
      <c r="B6" s="35"/>
      <c r="C6" s="45">
        <f>B6*Pristalsregulering!$C$7*Pristalsregulering!$C$6</f>
        <v>0</v>
      </c>
      <c r="D6" s="75"/>
      <c r="E6" s="45"/>
    </row>
    <row r="7" spans="1:5" hidden="1" x14ac:dyDescent="0.25"/>
    <row r="8" spans="1:5" hidden="1" x14ac:dyDescent="0.25"/>
    <row r="9" spans="1:5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24</v>
      </c>
      <c r="C1" s="78"/>
      <c r="D1" s="78"/>
      <c r="E1" s="79" t="s">
        <v>54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19000</v>
      </c>
      <c r="C3" s="42">
        <v>13663</v>
      </c>
      <c r="D3" s="42">
        <v>0</v>
      </c>
      <c r="E3" s="41">
        <f>B3</f>
        <v>19000</v>
      </c>
      <c r="F3" s="42">
        <f t="shared" ref="F3:G3" si="0">C3</f>
        <v>13663</v>
      </c>
      <c r="G3" s="43">
        <f t="shared" si="0"/>
        <v>0</v>
      </c>
      <c r="H3" s="44">
        <f>IF(E3=0,0,AVERAGEIF(E3:E5,"&lt;&gt;0"))+IF(F3=0,0,AVERAGEIF(F3:F5,"&lt;&gt;0"))+IF(G3=0,0,AVERAGEIF(G3:G5,"&lt;&gt;0"))</f>
        <v>37306.785066666664</v>
      </c>
    </row>
    <row r="4" spans="1:8" x14ac:dyDescent="0.25">
      <c r="A4" s="31">
        <v>2014</v>
      </c>
      <c r="B4" s="41">
        <v>18000</v>
      </c>
      <c r="C4" s="42">
        <v>17143</v>
      </c>
      <c r="D4" s="42">
        <v>0</v>
      </c>
      <c r="E4" s="41">
        <f>B4*Pristalsregulering!$C$7</f>
        <v>18014.399999999998</v>
      </c>
      <c r="F4" s="42">
        <f>C4*Pristalsregulering!$C$7</f>
        <v>17156.714399999997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22000</v>
      </c>
      <c r="C5" s="42">
        <v>21400</v>
      </c>
      <c r="D5" s="42">
        <v>0</v>
      </c>
      <c r="E5" s="41">
        <f>B5*Pristalsregulering!$C$7*Pristalsregulering!$C$6</f>
        <v>22347.863999999998</v>
      </c>
      <c r="F5" s="42">
        <f>C5*Pristalsregulering!$C$7*Pristalsregulering!$C$6</f>
        <v>21738.376799999998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1"/>
      <c r="B1" s="80" t="s">
        <v>67</v>
      </c>
      <c r="C1" s="80"/>
      <c r="D1" s="81"/>
      <c r="E1" s="82" t="s">
        <v>68</v>
      </c>
      <c r="F1" s="82"/>
      <c r="G1" s="82"/>
    </row>
    <row r="2" spans="1:7" s="22" customFormat="1" ht="15.75" thickTop="1" x14ac:dyDescent="0.25">
      <c r="A2" s="69" t="s">
        <v>13</v>
      </c>
      <c r="B2" s="23" t="s">
        <v>65</v>
      </c>
      <c r="C2" s="23" t="s">
        <v>1</v>
      </c>
      <c r="D2" s="28" t="s">
        <v>66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0">
        <v>2015</v>
      </c>
      <c r="B3" s="38">
        <v>2179962.3010714697</v>
      </c>
      <c r="C3" s="38">
        <v>534346.09333333327</v>
      </c>
      <c r="D3" s="40">
        <v>18533.333333333332</v>
      </c>
      <c r="E3" s="35">
        <f>B3*Pristalsregulering!C2*Pristalsregulering!C3*Pristalsregulering!C4*Pristalsregulering!C5*Pristalsregulering!C6*Pristalsregulering!C7</f>
        <v>2373322.7010708703</v>
      </c>
      <c r="F3" s="35">
        <v>561781.26643882785</v>
      </c>
      <c r="G3" s="35">
        <f>D3</f>
        <v>18533.333333333332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41</v>
      </c>
      <c r="C1" s="78"/>
      <c r="D1" s="78"/>
      <c r="E1" s="78"/>
      <c r="F1" s="79" t="s">
        <v>55</v>
      </c>
      <c r="G1" s="80"/>
      <c r="H1" s="80"/>
      <c r="I1" s="80"/>
      <c r="J1" s="83" t="s">
        <v>29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42</v>
      </c>
      <c r="C2" s="7" t="s">
        <v>43</v>
      </c>
      <c r="D2" s="7" t="s">
        <v>44</v>
      </c>
      <c r="E2" s="51" t="s">
        <v>45</v>
      </c>
      <c r="F2" s="7" t="s">
        <v>42</v>
      </c>
      <c r="G2" s="7" t="s">
        <v>43</v>
      </c>
      <c r="H2" s="7" t="s">
        <v>44</v>
      </c>
      <c r="I2" s="51" t="s">
        <v>45</v>
      </c>
      <c r="J2" s="20" t="s">
        <v>46</v>
      </c>
      <c r="K2" s="20" t="s">
        <v>43</v>
      </c>
      <c r="L2" s="15" t="s">
        <v>71</v>
      </c>
      <c r="M2" s="6" t="s">
        <v>28</v>
      </c>
      <c r="N2" s="32"/>
    </row>
    <row r="3" spans="1:14" x14ac:dyDescent="0.25">
      <c r="A3" s="28">
        <v>2015</v>
      </c>
      <c r="B3" s="45">
        <v>0</v>
      </c>
      <c r="C3" s="38">
        <v>0</v>
      </c>
      <c r="D3" s="38">
        <v>0</v>
      </c>
      <c r="E3" s="40">
        <v>0</v>
      </c>
      <c r="F3" s="38">
        <f>B3</f>
        <v>0</v>
      </c>
      <c r="G3" s="38">
        <f>C3</f>
        <v>0</v>
      </c>
      <c r="H3" s="38">
        <f>D3</f>
        <v>0</v>
      </c>
      <c r="I3" s="40">
        <f>E3</f>
        <v>0</v>
      </c>
      <c r="J3" s="42">
        <f>AVERAGE(F3:F5)</f>
        <v>59149.428383999992</v>
      </c>
      <c r="K3" s="42">
        <f>G3</f>
        <v>0</v>
      </c>
      <c r="L3" s="43">
        <f>AVERAGE(H3:H5)+AVERAGE(I3:I5)</f>
        <v>0</v>
      </c>
      <c r="M3" s="44">
        <f>SUM(J3:L3)</f>
        <v>59149.428383999992</v>
      </c>
      <c r="N3" s="23"/>
    </row>
    <row r="4" spans="1:14" x14ac:dyDescent="0.25">
      <c r="A4" s="28">
        <v>2014</v>
      </c>
      <c r="B4" s="45">
        <v>396</v>
      </c>
      <c r="C4" s="38">
        <v>0</v>
      </c>
      <c r="D4" s="38">
        <v>0</v>
      </c>
      <c r="E4" s="40">
        <v>0</v>
      </c>
      <c r="F4" s="38">
        <f>IF(B4="","",B4*Pristalsregulering!$C$7)</f>
        <v>396.31679999999994</v>
      </c>
      <c r="G4" s="38">
        <f>IF(C4="","",C4*Pristalsregulering!$C$7)</f>
        <v>0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174296</v>
      </c>
      <c r="C5" s="38">
        <v>0</v>
      </c>
      <c r="D5" s="38">
        <v>0</v>
      </c>
      <c r="E5" s="40">
        <v>0</v>
      </c>
      <c r="F5" s="38">
        <f>IF(B5="","",B5*Pristalsregulering!$C$7*Pristalsregulering!$C$6)</f>
        <v>177051.96835199997</v>
      </c>
      <c r="G5" s="38">
        <f>IF(C5="","",C5*Pristalsregulering!$C$7*Pristalsregulering!$C$6)</f>
        <v>0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19.140625" style="25" bestFit="1" customWidth="1"/>
    <col min="11" max="11" width="44.5703125" style="25" bestFit="1" customWidth="1"/>
    <col min="12" max="12" width="44.5703125" style="25" customWidth="1"/>
    <col min="13" max="13" width="16.85546875" style="31" bestFit="1" customWidth="1"/>
    <col min="14" max="14" width="15.7109375" style="25" customWidth="1"/>
    <col min="15" max="17" width="0" style="25" hidden="1" customWidth="1"/>
    <col min="18" max="16384" width="9.140625" style="25" hidden="1"/>
  </cols>
  <sheetData>
    <row r="1" spans="1:14" s="21" customFormat="1" ht="15.75" thickBot="1" x14ac:dyDescent="0.3">
      <c r="A1" s="12" t="s">
        <v>13</v>
      </c>
      <c r="B1" s="66" t="s">
        <v>30</v>
      </c>
      <c r="C1" s="66" t="s">
        <v>31</v>
      </c>
      <c r="D1" s="66" t="s">
        <v>32</v>
      </c>
      <c r="E1" s="66" t="s">
        <v>33</v>
      </c>
      <c r="F1" s="66" t="s">
        <v>34</v>
      </c>
      <c r="G1" s="66" t="s">
        <v>35</v>
      </c>
      <c r="H1" s="66" t="s">
        <v>36</v>
      </c>
      <c r="I1" s="66" t="s">
        <v>37</v>
      </c>
      <c r="J1" s="66" t="s">
        <v>38</v>
      </c>
      <c r="K1" s="66" t="s">
        <v>39</v>
      </c>
      <c r="L1" s="66" t="s">
        <v>56</v>
      </c>
      <c r="M1" s="67" t="s">
        <v>40</v>
      </c>
      <c r="N1" s="14" t="s">
        <v>28</v>
      </c>
    </row>
    <row r="2" spans="1:14" ht="15.75" thickTop="1" x14ac:dyDescent="0.25">
      <c r="A2" s="31">
        <v>2015</v>
      </c>
      <c r="B2" s="42">
        <v>32523</v>
      </c>
      <c r="C2" s="42">
        <v>0</v>
      </c>
      <c r="D2" s="42">
        <v>28175</v>
      </c>
      <c r="E2" s="42">
        <v>0</v>
      </c>
      <c r="F2" s="42">
        <v>0</v>
      </c>
      <c r="G2" s="42">
        <v>2375510</v>
      </c>
      <c r="H2" s="42" t="s">
        <v>47</v>
      </c>
      <c r="I2" s="42">
        <v>0</v>
      </c>
      <c r="J2" s="42">
        <v>0</v>
      </c>
      <c r="K2" s="42">
        <v>0</v>
      </c>
      <c r="L2" s="42"/>
      <c r="M2" s="43"/>
      <c r="N2" s="44">
        <f>SUM(B2:M2)</f>
        <v>2436208</v>
      </c>
    </row>
    <row r="3" spans="1:14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47</v>
      </c>
    </row>
    <row r="4" spans="1:14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47</v>
      </c>
    </row>
    <row r="5" spans="1:14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  <c r="K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57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50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51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2016-09-29T12:09:37Z</dcterms:modified>
</cp:coreProperties>
</file>