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Spildevand\HOFOR SPILDEVAND BRØNDBY AS (S011)\ØR2025\"/>
    </mc:Choice>
  </mc:AlternateContent>
  <xr:revisionPtr revIDLastSave="0" documentId="13_ncr:1_{DBE0E808-6B38-4272-95A3-4FED0957ADA6}"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9" i="20" l="1"/>
  <c r="C23" i="43" l="1"/>
  <c r="C27" i="43" s="1"/>
  <c r="C32" i="2" l="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<sst xmlns="http://schemas.openxmlformats.org/spreadsheetml/2006/main" count="549" uniqueCount="235">
  <si>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</si>
  <si>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</si>
  <si>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</si>
  <si>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</si>
  <si>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</si>
  <si>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</si>
  <si>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</si>
  <si>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</si>
  <si>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</si>
  <si>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</si>
  <si>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</si>
  <si>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</si>
  <si>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</si>
  <si>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</si>
  <si>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</si>
  <si>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</si>
  <si>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</si>
  <si>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</si>
  <si>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</si>
  <si>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</si>
  <si>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</si>
  <si>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</si>
  <si>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</si>
  <si>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</si>
  <si>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</si>
  <si>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</si>
  <si>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</si>
  <si>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</si>
  <si>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</si>
  <si>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</si>
  <si>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</si>
  <si>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</si>
  <si>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</si>
  <si>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</si>
  <si>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</si>
  <si>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</si>
  <si>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</si>
  <si>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</si>
  <si>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</si>
  <si>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</si>
  <si>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</si>
  <si>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</si>
  <si>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</si>
  <si>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</si>
  <si>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</si>
  <si>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</si>
  <si>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</si>
  <si>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</si>
  <si>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</si>
  <si>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</si>
  <si>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</si>
  <si>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</si>
  <si>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</si>
  <si>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</si>
  <si>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</si>
  <si>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</si>
  <si>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</si>
  <si>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</si>
  <si>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</si>
  <si>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</si>
  <si>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</si>
  <si>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</si>
  <si>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</si>
  <si>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</si>
  <si>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</si>
  <si>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</si>
  <si>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</si>
  <si>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</si>
  <si>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</si>
  <si>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</si>
  <si>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</si>
  <si>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</si>
  <si>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</si>
  <si>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</si>
  <si>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</si>
  <si>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</si>
  <si>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</si>
  <si>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</si>
  <si>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</si>
  <si>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</si>
  <si>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</si>
  <si>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</si>
  <si>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</si>
  <si>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</si>
  <si>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</si>
  <si>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</si>
  <si>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</si>
  <si>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</si>
  <si>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</si>
  <si>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</si>
  <si>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</si>
  <si>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</si>
  <si>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</si>
  <si>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</si>
  <si>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</si>
  <si>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</si>
  <si>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</si>
  <si>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</si>
  <si>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</si>
  <si>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</si>
  <si>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</si>
  <si>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</si>
  <si>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</si>
  <si>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</si>
  <si>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</si>
  <si>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</si>
  <si>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</si>
  <si>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</si>
  <si>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</si>
  <si>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</si>
  <si>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</si>
  <si>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</si>
  <si>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</si>
  <si>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</si>
  <si>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</si>
  <si>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</si>
  <si>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</si>
  <si>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</si>
  <si>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</si>
  <si>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</si>
  <si>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</si>
  <si>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</si>
  <si>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</si>
  <si>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</si>
  <si>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</si>
  <si>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</si>
  <si>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</si>
  <si>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</si>
  <si>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</si>
  <si>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</si>
  <si>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</si>
  <si>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</si>
  <si>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</si>
  <si>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</si>
  <si>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</si>
  <si>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</si>
  <si>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</si>
  <si>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</si>
  <si>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</si>
  <si>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</si>
  <si>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</si>
  <si>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</si>
  <si>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</si>
  <si>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</si>
  <si>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</si>
  <si>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</si>
  <si>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</si>
  <si>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</si>
  <si>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</si>
  <si>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</si>
  <si>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</si>
  <si>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</si>
  <si>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</si>
  <si>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</si>
  <si>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</si>
  <si>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</si>
  <si>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</si>
  <si>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</si>
  <si>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</si>
  <si>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</si>
  <si>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</si>
  <si>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</si>
  <si>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</si>
  <si>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</si>
  <si>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</si>
  <si>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</si>
  <si>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</si>
  <si>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</si>
  <si>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</si>
  <si>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</si>
  <si>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</si>
  <si>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</si>
  <si>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</si>
  <si>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</si>
  <si>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</si>
  <si>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</si>
  <si>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</si>
  <si>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</si>
  <si>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</si>
  <si>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</si>
  <si>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</si>
  <si>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</si>
  <si>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</si>
  <si>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</si>
  <si>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</si>
  <si>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</si>
  <si>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</si>
  <si>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</si>
  <si>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</si>
  <si>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</si>
  <si>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</si>
  <si>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</si>
  <si>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</si>
  <si>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</si>
  <si>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</si>
  <si>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</si>
  <si>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</si>
  <si>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</si>
  <si>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</si>
  <si>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</si>
  <si>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</si>
  <si>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</si>
  <si>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</si>
  <si>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</si>
  <si>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</si>
  <si>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</si>
  <si>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</si>
  <si>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</si>
  <si>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</si>
  <si>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</si>
  <si>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</si>
  <si>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</si>
  <si>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</si>
  <si>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</si>
  <si>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</si>
  <si>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</si>
  <si>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</si>
  <si>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</si>
  <si>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</si>
  <si>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</si>
  <si>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</si>
  <si>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</si>
  <si>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</si>
  <si>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Byudvidelse Mekanikervej</t>
  </si>
  <si>
    <t>Byudvikling Sportsbye</t>
  </si>
  <si>
    <t>Forøgelse af indbyggere</t>
  </si>
  <si>
    <t>Ingen engangstillæg</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</si>
  <si>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</si>
  <si>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</si>
  <si>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</si>
  <si>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Afgift til Forsyningssekretariatet</t>
  </si>
  <si>
    <t>Køb af ydelser og produkter fra andre vandselskaber reguleret af vandsektorloven</t>
  </si>
  <si>
    <t>Ejendomsskatter</t>
  </si>
  <si>
    <t>Gebyr til Miljøstyrelsen</t>
  </si>
  <si>
    <t>Til statusmeddelelse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</si>
</sst>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6" t="s">
        <v>4</v>
      </c>
      <c r="D6" s="86"/>
      <c r="E6" s="86"/>
      <c r="F6" s="86"/>
      <c r="G6" s="3"/>
    </row>
    <row r="7" spans="1:7" ht="15" customHeight="1" x14ac:dyDescent="0.25">
      <c r="A7" s="1"/>
      <c r="B7" s="3"/>
      <c r="C7" s="86"/>
      <c r="D7" s="86"/>
      <c r="E7" s="86"/>
      <c r="F7" s="86"/>
      <c r="G7" s="3"/>
    </row>
    <row r="8" spans="1:7" ht="15.75" x14ac:dyDescent="0.25">
      <c r="A8" s="1"/>
      <c r="B8" s="4"/>
      <c r="C8" s="94" t="s">
        <v>234</v>
      </c>
      <c r="D8" s="94"/>
      <c r="E8" s="94"/>
      <c r="F8" s="94"/>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3" t="s">
        <v>5</v>
      </c>
      <c r="D11" s="93"/>
      <c r="E11" s="93"/>
      <c r="F11" s="93"/>
      <c r="G11" s="5"/>
    </row>
    <row r="12" spans="1:7" x14ac:dyDescent="0.25">
      <c r="A12" s="1"/>
      <c r="B12" s="1"/>
      <c r="C12" s="1"/>
      <c r="D12" s="1"/>
      <c r="E12" s="1"/>
      <c r="F12" s="1"/>
      <c r="G12" s="5"/>
    </row>
    <row r="13" spans="1:7" x14ac:dyDescent="0.25">
      <c r="A13" s="1"/>
      <c r="B13" s="6" t="s">
        <v>6</v>
      </c>
      <c r="C13" s="98" t="s">
        <v>127</v>
      </c>
      <c r="D13" s="99"/>
      <c r="E13" s="99"/>
      <c r="F13" s="100"/>
      <c r="G13" s="5"/>
    </row>
    <row r="14" spans="1:7" x14ac:dyDescent="0.25">
      <c r="A14" s="1"/>
      <c r="B14" s="6" t="s">
        <v>16</v>
      </c>
      <c r="C14" s="83" t="s">
        <v>186</v>
      </c>
      <c r="D14" s="84"/>
      <c r="E14" s="84"/>
      <c r="F14" s="85"/>
      <c r="G14" s="5"/>
    </row>
    <row r="15" spans="1:7" x14ac:dyDescent="0.25">
      <c r="A15" s="1"/>
      <c r="B15" s="6" t="s">
        <v>30</v>
      </c>
      <c r="C15" s="83" t="s">
        <v>149</v>
      </c>
      <c r="D15" s="84"/>
      <c r="E15" s="84"/>
      <c r="F15" s="85"/>
      <c r="G15" s="5"/>
    </row>
    <row r="16" spans="1:7" x14ac:dyDescent="0.25">
      <c r="A16" s="1"/>
      <c r="B16" s="6" t="s">
        <v>31</v>
      </c>
      <c r="C16" s="83" t="s">
        <v>151</v>
      </c>
      <c r="D16" s="84"/>
      <c r="E16" s="84"/>
      <c r="F16" s="85"/>
      <c r="G16" s="5"/>
    </row>
    <row r="17" spans="1:8" x14ac:dyDescent="0.25">
      <c r="A17" s="1"/>
      <c r="B17" s="6" t="s">
        <v>61</v>
      </c>
      <c r="C17" s="83" t="s">
        <v>152</v>
      </c>
      <c r="D17" s="84"/>
      <c r="E17" s="84"/>
      <c r="F17" s="85"/>
      <c r="G17" s="5"/>
    </row>
    <row r="18" spans="1:8" x14ac:dyDescent="0.25">
      <c r="A18" s="1"/>
      <c r="B18" s="6" t="s">
        <v>53</v>
      </c>
      <c r="C18" s="95" t="s">
        <v>45</v>
      </c>
      <c r="D18" s="96"/>
      <c r="E18" s="96"/>
      <c r="F18" s="97"/>
      <c r="G18" s="5"/>
    </row>
    <row r="19" spans="1:8" x14ac:dyDescent="0.25">
      <c r="A19" s="1"/>
      <c r="B19" s="6" t="s">
        <v>54</v>
      </c>
      <c r="C19" s="95" t="s">
        <v>46</v>
      </c>
      <c r="D19" s="96"/>
      <c r="E19" s="96"/>
      <c r="F19" s="97"/>
      <c r="G19" s="5"/>
    </row>
    <row r="20" spans="1:8" x14ac:dyDescent="0.25">
      <c r="A20" s="1"/>
      <c r="B20" s="6" t="s">
        <v>7</v>
      </c>
      <c r="C20" s="95" t="s">
        <v>10</v>
      </c>
      <c r="D20" s="96"/>
      <c r="E20" s="96"/>
      <c r="F20" s="97"/>
      <c r="G20" s="5"/>
    </row>
    <row r="21" spans="1:8" x14ac:dyDescent="0.25">
      <c r="A21" s="1"/>
      <c r="B21" s="6" t="s">
        <v>55</v>
      </c>
      <c r="C21" s="87" t="s">
        <v>12</v>
      </c>
      <c r="D21" s="88"/>
      <c r="E21" s="88"/>
      <c r="F21" s="89"/>
      <c r="G21" s="5"/>
    </row>
    <row r="22" spans="1:8" x14ac:dyDescent="0.25">
      <c r="A22" s="1"/>
      <c r="B22" s="6" t="s">
        <v>39</v>
      </c>
      <c r="C22" s="90" t="s">
        <v>153</v>
      </c>
      <c r="D22" s="91"/>
      <c r="E22" s="91"/>
      <c r="F22" s="92"/>
      <c r="G22" s="5"/>
    </row>
    <row r="23" spans="1:8" x14ac:dyDescent="0.25">
      <c r="A23" s="1"/>
      <c r="B23" s="6" t="s">
        <v>8</v>
      </c>
      <c r="C23" s="90" t="s">
        <v>112</v>
      </c>
      <c r="D23" s="91"/>
      <c r="E23" s="91"/>
      <c r="F23" s="92"/>
      <c r="G23" s="5"/>
    </row>
    <row r="24" spans="1:8" x14ac:dyDescent="0.25">
      <c r="A24" s="1"/>
      <c r="B24" s="6" t="s">
        <v>9</v>
      </c>
      <c r="C24" s="90" t="s">
        <v>154</v>
      </c>
      <c r="D24" s="91"/>
      <c r="E24" s="91"/>
      <c r="F24" s="92"/>
      <c r="G24" s="5"/>
    </row>
    <row r="25" spans="1:8" x14ac:dyDescent="0.25">
      <c r="A25" s="1"/>
      <c r="B25" s="6" t="s">
        <v>97</v>
      </c>
      <c r="C25" s="90" t="s">
        <v>91</v>
      </c>
      <c r="D25" s="91"/>
      <c r="E25" s="91"/>
      <c r="F25" s="92"/>
      <c r="G25" s="1"/>
    </row>
    <row r="26" spans="1:8" x14ac:dyDescent="0.25">
      <c r="A26" s="1"/>
      <c r="B26" s="6" t="s">
        <v>98</v>
      </c>
      <c r="C26" s="90" t="s">
        <v>40</v>
      </c>
      <c r="D26" s="91"/>
      <c r="E26" s="91"/>
      <c r="F26" s="92"/>
      <c r="G26" s="1"/>
    </row>
    <row r="27" spans="1:8" x14ac:dyDescent="0.25">
      <c r="A27" s="1"/>
      <c r="B27" s="6" t="s">
        <v>99</v>
      </c>
      <c r="C27" s="90" t="s">
        <v>41</v>
      </c>
      <c r="D27" s="91"/>
      <c r="E27" s="91"/>
      <c r="F27" s="92"/>
      <c r="G27" s="1"/>
    </row>
    <row r="28" spans="1:8" x14ac:dyDescent="0.25">
      <c r="A28" s="1"/>
      <c r="B28" s="6" t="s">
        <v>15</v>
      </c>
      <c r="C28" s="90" t="s">
        <v>42</v>
      </c>
      <c r="D28" s="91"/>
      <c r="E28" s="91"/>
      <c r="F28" s="92"/>
      <c r="G28" s="1"/>
      <c r="H28" s="2" t="s">
        <v>150</v>
      </c>
    </row>
    <row r="29" spans="1:8" x14ac:dyDescent="0.25">
      <c r="A29" s="1"/>
      <c r="B29" s="6" t="s">
        <v>33</v>
      </c>
      <c r="C29" s="90" t="s">
        <v>68</v>
      </c>
      <c r="D29" s="91"/>
      <c r="E29" s="91"/>
      <c r="F29" s="92"/>
      <c r="G29" s="1"/>
    </row>
    <row r="30" spans="1:8" x14ac:dyDescent="0.25">
      <c r="A30" s="1"/>
      <c r="B30" s="6" t="s">
        <v>34</v>
      </c>
      <c r="C30" s="90" t="s">
        <v>32</v>
      </c>
      <c r="D30" s="91"/>
      <c r="E30" s="91"/>
      <c r="F30" s="92"/>
      <c r="G30" s="1"/>
    </row>
    <row r="31" spans="1:8" x14ac:dyDescent="0.25">
      <c r="A31" s="1"/>
      <c r="B31" s="6" t="s">
        <v>100</v>
      </c>
      <c r="C31" s="101" t="s">
        <v>52</v>
      </c>
      <c r="D31" s="102"/>
      <c r="E31" s="102"/>
      <c r="F31" s="103"/>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7VwCXgsdhq2Hd0tXXziYw0rZMovNqVNXlv185e9gEROBy35fIevYtBXROtO5H6XHUTzH9C05QuvzRrC0m/CTqw==" saltValue="o3Q+LpQh/CnV6r4o8TgE0g=="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165</v>
      </c>
      <c r="C8" s="109"/>
      <c r="D8" s="110"/>
      <c r="E8" s="1"/>
    </row>
    <row r="9" spans="1:5" ht="15" customHeight="1" x14ac:dyDescent="0.25">
      <c r="A9" s="1"/>
      <c r="B9" s="27" t="s">
        <v>28</v>
      </c>
      <c r="C9" s="67" t="s">
        <v>166</v>
      </c>
      <c r="D9" s="11"/>
      <c r="E9" s="1"/>
    </row>
    <row r="10" spans="1:5" ht="15" customHeight="1" x14ac:dyDescent="0.25">
      <c r="A10" s="1"/>
      <c r="B10" s="71" t="s">
        <v>230</v>
      </c>
      <c r="C10" s="72">
        <v>76959</v>
      </c>
      <c r="D10" s="14" t="s">
        <v>3</v>
      </c>
      <c r="E10" s="1"/>
    </row>
    <row r="11" spans="1:5" ht="15" customHeight="1" x14ac:dyDescent="0.25">
      <c r="A11" s="1"/>
      <c r="B11" s="71" t="s">
        <v>231</v>
      </c>
      <c r="C11" s="72">
        <v>14364777</v>
      </c>
      <c r="D11" s="14" t="s">
        <v>3</v>
      </c>
      <c r="E11" s="1"/>
    </row>
    <row r="12" spans="1:5" x14ac:dyDescent="0.25">
      <c r="A12" s="1"/>
      <c r="B12" s="71" t="s">
        <v>232</v>
      </c>
      <c r="C12" s="72">
        <v>2025</v>
      </c>
      <c r="D12" s="14" t="s">
        <v>3</v>
      </c>
      <c r="E12" s="1"/>
    </row>
    <row r="13" spans="1:5" x14ac:dyDescent="0.25">
      <c r="A13" s="1"/>
      <c r="B13" s="71" t="s">
        <v>233</v>
      </c>
      <c r="C13" s="72">
        <v>10785</v>
      </c>
      <c r="D13" s="14" t="s">
        <v>3</v>
      </c>
      <c r="E13" s="1"/>
    </row>
    <row r="14" spans="1:5" x14ac:dyDescent="0.25">
      <c r="A14" s="1"/>
      <c r="B14" s="71"/>
      <c r="C14" s="72"/>
      <c r="D14" s="14" t="s">
        <v>3</v>
      </c>
      <c r="E14" s="1"/>
    </row>
    <row r="15" spans="1:5" x14ac:dyDescent="0.25">
      <c r="A15" s="1"/>
      <c r="B15" s="71"/>
      <c r="C15" s="72"/>
      <c r="D15" s="14" t="s">
        <v>3</v>
      </c>
      <c r="E15" s="1"/>
    </row>
    <row r="16" spans="1:5" x14ac:dyDescent="0.25">
      <c r="A16" s="1"/>
      <c r="B16" s="71"/>
      <c r="C16" s="72"/>
      <c r="D16" s="14" t="s">
        <v>3</v>
      </c>
      <c r="E16" s="1"/>
    </row>
    <row r="17" spans="1:5" x14ac:dyDescent="0.25">
      <c r="A17" s="1"/>
      <c r="B17" s="71"/>
      <c r="C17" s="72"/>
      <c r="D17" s="14" t="s">
        <v>3</v>
      </c>
      <c r="E17" s="1"/>
    </row>
    <row r="18" spans="1:5" x14ac:dyDescent="0.25">
      <c r="A18" s="1"/>
      <c r="B18" s="71"/>
      <c r="C18" s="72"/>
      <c r="D18" s="14" t="s">
        <v>3</v>
      </c>
      <c r="E18" s="1"/>
    </row>
    <row r="19" spans="1:5" x14ac:dyDescent="0.25">
      <c r="A19" s="1"/>
      <c r="B19" s="71"/>
      <c r="C19" s="72"/>
      <c r="D19" s="14" t="s">
        <v>3</v>
      </c>
      <c r="E19" s="1"/>
    </row>
    <row r="20" spans="1:5" x14ac:dyDescent="0.25">
      <c r="A20" s="1"/>
      <c r="B20" s="33" t="s">
        <v>167</v>
      </c>
      <c r="C20" s="12">
        <f>SUM(C10:C19)</f>
        <v>14454546</v>
      </c>
      <c r="D20" s="13" t="s">
        <v>3</v>
      </c>
      <c r="E20" s="1"/>
    </row>
    <row r="21" spans="1:5" x14ac:dyDescent="0.25">
      <c r="A21" s="1"/>
      <c r="B21" s="33" t="s">
        <v>168</v>
      </c>
      <c r="C21" s="12">
        <f>C20*(1+'Fane 15. Nøgletal'!C10)^2</f>
        <v>16434756.50290674</v>
      </c>
      <c r="D21" s="13" t="s">
        <v>3</v>
      </c>
      <c r="E21" s="1"/>
    </row>
    <row r="22" spans="1:5" x14ac:dyDescent="0.25">
      <c r="A22" s="1"/>
      <c r="B22" s="16"/>
      <c r="C22" s="15"/>
      <c r="D22" s="15"/>
      <c r="E22" s="1"/>
    </row>
    <row r="23" spans="1:5" x14ac:dyDescent="0.25">
      <c r="A23" s="1"/>
      <c r="B23" s="16"/>
      <c r="C23" s="15"/>
      <c r="D23" s="15"/>
      <c r="E23" s="1"/>
    </row>
    <row r="24" spans="1:5" x14ac:dyDescent="0.25">
      <c r="A24" s="1"/>
      <c r="B24" s="108" t="s">
        <v>60</v>
      </c>
      <c r="C24" s="109"/>
      <c r="D24" s="110"/>
      <c r="E24" s="1"/>
    </row>
    <row r="25" spans="1:5" x14ac:dyDescent="0.25">
      <c r="A25" s="1"/>
      <c r="B25" s="37" t="s">
        <v>72</v>
      </c>
      <c r="C25" s="9">
        <v>321181</v>
      </c>
      <c r="D25" s="14" t="s">
        <v>3</v>
      </c>
      <c r="E25" s="1"/>
    </row>
    <row r="26" spans="1:5" x14ac:dyDescent="0.25">
      <c r="A26" s="1"/>
      <c r="B26" s="37" t="s">
        <v>83</v>
      </c>
      <c r="C26" s="9">
        <v>9836</v>
      </c>
      <c r="D26" s="14" t="s">
        <v>3</v>
      </c>
      <c r="E26" s="1"/>
    </row>
    <row r="27" spans="1:5" x14ac:dyDescent="0.25">
      <c r="A27" s="1"/>
      <c r="B27" s="37" t="s">
        <v>148</v>
      </c>
      <c r="C27" s="9">
        <v>9983</v>
      </c>
      <c r="D27" s="14" t="s">
        <v>3</v>
      </c>
      <c r="E27" s="1"/>
    </row>
    <row r="28" spans="1:5" x14ac:dyDescent="0.25">
      <c r="A28" s="1"/>
      <c r="B28" s="34" t="s">
        <v>169</v>
      </c>
      <c r="C28" s="9">
        <v>10133</v>
      </c>
      <c r="D28" s="36" t="s">
        <v>3</v>
      </c>
      <c r="E28" s="1"/>
    </row>
    <row r="29" spans="1:5" x14ac:dyDescent="0.25">
      <c r="A29" s="1"/>
      <c r="B29" s="108"/>
      <c r="C29" s="109"/>
      <c r="D29" s="110"/>
      <c r="E29" s="1"/>
    </row>
    <row r="30" spans="1:5" x14ac:dyDescent="0.25">
      <c r="A30" s="1"/>
      <c r="B30" s="1"/>
      <c r="C30" s="1"/>
      <c r="D30" s="1"/>
      <c r="E30" s="1"/>
    </row>
    <row r="31" spans="1:5" x14ac:dyDescent="0.25">
      <c r="A31" s="1"/>
      <c r="B31" s="1"/>
      <c r="C31" s="1"/>
      <c r="D31" s="1"/>
      <c r="E31" s="1"/>
    </row>
    <row r="32" spans="1:5" x14ac:dyDescent="0.25">
      <c r="A32" s="1"/>
      <c r="B32" s="108" t="s">
        <v>47</v>
      </c>
      <c r="C32" s="109"/>
      <c r="D32" s="110"/>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8"/>
      <c r="C37" s="109"/>
      <c r="D37" s="110"/>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sLhQ2uXLFn0uoZ/LuAnub/NI3ycfaV7rVfMMZl/OFqGk58ypQxQvuMJ7qngS9k1x8bTxcRdWfkh7X5LSCVnykg==" saltValue="Q3iDcYxSLgHkgTrKpDM58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201</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4"/>
      <c r="C6" s="74"/>
      <c r="D6" s="74"/>
      <c r="E6" s="1"/>
    </row>
    <row r="7" spans="1:5" x14ac:dyDescent="0.25">
      <c r="A7" s="1"/>
      <c r="B7" s="1"/>
      <c r="C7" s="1"/>
      <c r="D7" s="1"/>
      <c r="E7" s="1"/>
    </row>
    <row r="8" spans="1:5" x14ac:dyDescent="0.25">
      <c r="A8" s="1"/>
      <c r="B8" s="108" t="s">
        <v>77</v>
      </c>
      <c r="C8" s="109"/>
      <c r="D8" s="110"/>
      <c r="E8" s="1"/>
    </row>
    <row r="9" spans="1:5" x14ac:dyDescent="0.25">
      <c r="A9" s="1"/>
      <c r="B9" s="65" t="s">
        <v>204</v>
      </c>
      <c r="C9" s="9">
        <v>-1782603.7532697171</v>
      </c>
      <c r="D9" s="14" t="s">
        <v>3</v>
      </c>
      <c r="E9" s="1"/>
    </row>
    <row r="10" spans="1:5" x14ac:dyDescent="0.25">
      <c r="A10" s="1"/>
      <c r="B10" s="33"/>
      <c r="C10" s="28"/>
      <c r="D10" s="19"/>
      <c r="E10" s="1"/>
    </row>
    <row r="11" spans="1:5" ht="53.25" customHeight="1" x14ac:dyDescent="0.25">
      <c r="A11" s="1"/>
      <c r="B11" s="119" t="s">
        <v>212</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5" t="s">
        <v>202</v>
      </c>
      <c r="C14" s="9">
        <v>-362553.88247916847</v>
      </c>
      <c r="D14" s="14" t="s">
        <v>3</v>
      </c>
      <c r="E14" s="1"/>
    </row>
    <row r="15" spans="1:5" x14ac:dyDescent="0.25">
      <c r="A15" s="1"/>
      <c r="B15" s="65" t="s">
        <v>203</v>
      </c>
      <c r="C15" s="9">
        <v>-362553.88247916847</v>
      </c>
      <c r="D15" s="14" t="s">
        <v>3</v>
      </c>
      <c r="E15" s="1"/>
    </row>
    <row r="16" spans="1:5" x14ac:dyDescent="0.25">
      <c r="A16" s="1"/>
      <c r="B16" s="33"/>
      <c r="C16" s="28"/>
      <c r="D16" s="19"/>
      <c r="E16" s="1"/>
    </row>
    <row r="17" spans="1:5" ht="29.25" customHeight="1" x14ac:dyDescent="0.25">
      <c r="A17" s="1"/>
      <c r="B17" s="119" t="s">
        <v>121</v>
      </c>
      <c r="C17" s="120"/>
      <c r="D17" s="121"/>
      <c r="E17" s="1"/>
    </row>
    <row r="18" spans="1:5" x14ac:dyDescent="0.25">
      <c r="A18" s="1"/>
      <c r="B18" s="1"/>
      <c r="C18" s="1"/>
      <c r="D18" s="1"/>
      <c r="E18" s="1"/>
    </row>
    <row r="19" spans="1:5" x14ac:dyDescent="0.25">
      <c r="A19" s="1"/>
      <c r="B19" s="75" t="s">
        <v>205</v>
      </c>
      <c r="C19" s="76"/>
      <c r="D19" s="77"/>
      <c r="E19" s="1"/>
    </row>
    <row r="20" spans="1:5" x14ac:dyDescent="0.25">
      <c r="A20" s="1"/>
      <c r="B20" s="65" t="s">
        <v>206</v>
      </c>
      <c r="C20" s="9">
        <v>53655556.847692862</v>
      </c>
      <c r="D20" s="14" t="s">
        <v>3</v>
      </c>
      <c r="E20" s="1"/>
    </row>
    <row r="21" spans="1:5" x14ac:dyDescent="0.25">
      <c r="A21" s="1"/>
      <c r="B21" s="65" t="s">
        <v>207</v>
      </c>
      <c r="C21" s="9">
        <v>52416216</v>
      </c>
      <c r="D21" s="14" t="s">
        <v>3</v>
      </c>
      <c r="E21" s="1"/>
    </row>
    <row r="22" spans="1:5" x14ac:dyDescent="0.25">
      <c r="A22" s="1"/>
      <c r="B22" s="65" t="s">
        <v>29</v>
      </c>
      <c r="C22" s="9">
        <v>0</v>
      </c>
      <c r="D22" s="14" t="s">
        <v>3</v>
      </c>
      <c r="E22" s="1"/>
    </row>
    <row r="23" spans="1:5" x14ac:dyDescent="0.25">
      <c r="A23" s="1"/>
      <c r="B23" s="81" t="s">
        <v>208</v>
      </c>
      <c r="C23" s="57">
        <f>C20-C21-C22</f>
        <v>1239340.8476928622</v>
      </c>
      <c r="D23" s="17" t="s">
        <v>3</v>
      </c>
      <c r="E23" s="1"/>
    </row>
    <row r="24" spans="1:5" x14ac:dyDescent="0.25">
      <c r="A24" s="1"/>
      <c r="B24" s="33"/>
      <c r="C24" s="28"/>
      <c r="D24" s="19"/>
      <c r="E24" s="1"/>
    </row>
    <row r="25" spans="1:5" x14ac:dyDescent="0.25">
      <c r="A25" s="1"/>
      <c r="B25" s="1"/>
      <c r="C25" s="1"/>
      <c r="D25" s="1"/>
      <c r="E25" s="1"/>
    </row>
    <row r="26" spans="1:5" x14ac:dyDescent="0.25">
      <c r="A26" s="1"/>
      <c r="B26" s="108" t="s">
        <v>209</v>
      </c>
      <c r="C26" s="109"/>
      <c r="D26" s="110"/>
      <c r="E26" s="1"/>
    </row>
    <row r="27" spans="1:5" x14ac:dyDescent="0.25">
      <c r="A27" s="1"/>
      <c r="B27" s="81" t="s">
        <v>210</v>
      </c>
      <c r="C27" s="57">
        <f>IF(AND(C15&lt;0,C23&gt;0,ABS(SUM(C14:C15))&lt;C23),ABS(C14),IF(AND(C15&lt;0,C23&gt;0,ABS(SUM(C14:C15))&gt;C23),SUM(C14,C23),C15))</f>
        <v>362553.88247916847</v>
      </c>
      <c r="D27" s="17" t="s">
        <v>3</v>
      </c>
      <c r="E27" s="1"/>
    </row>
    <row r="28" spans="1:5" x14ac:dyDescent="0.25">
      <c r="A28" s="1"/>
      <c r="B28" s="108"/>
      <c r="C28" s="109"/>
      <c r="D28" s="110"/>
      <c r="E28" s="1"/>
    </row>
    <row r="29" spans="1:5" x14ac:dyDescent="0.25">
      <c r="A29" s="1"/>
      <c r="B29" s="1"/>
      <c r="C29" s="1"/>
      <c r="D29" s="1"/>
      <c r="E29" s="1"/>
    </row>
    <row r="30" spans="1:5" x14ac:dyDescent="0.25">
      <c r="A30" s="1"/>
      <c r="B30" s="108" t="s">
        <v>211</v>
      </c>
      <c r="C30" s="109"/>
      <c r="D30" s="110"/>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xlYCn5osfhjoxjft8OYOYkck7U7j3+dfb1mOASu8gAorcMyPJMMBiXN9A1uHo04jaSfiV2ZLWnMN5li71Ab9QA==" saltValue="rowjmGZLX70tFemxK146QA=="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6" t="s">
        <v>101</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x14ac:dyDescent="0.25">
      <c r="A8" s="1"/>
      <c r="B8" s="108" t="s">
        <v>120</v>
      </c>
      <c r="C8" s="109"/>
      <c r="D8" s="110"/>
      <c r="E8" s="1"/>
    </row>
    <row r="9" spans="1:5" ht="15" customHeight="1" x14ac:dyDescent="0.25">
      <c r="A9" s="1"/>
      <c r="B9" s="122" t="s">
        <v>102</v>
      </c>
      <c r="C9" s="123"/>
      <c r="D9" s="124"/>
      <c r="E9" s="1"/>
    </row>
    <row r="10" spans="1:5" x14ac:dyDescent="0.25">
      <c r="A10" s="1"/>
      <c r="B10" s="68" t="s">
        <v>103</v>
      </c>
      <c r="C10" s="9">
        <v>0</v>
      </c>
      <c r="D10" s="9" t="s">
        <v>3</v>
      </c>
      <c r="E10" s="1"/>
    </row>
    <row r="11" spans="1:5" x14ac:dyDescent="0.25">
      <c r="A11" s="1"/>
      <c r="B11" s="68" t="s">
        <v>104</v>
      </c>
      <c r="C11" s="9">
        <v>0</v>
      </c>
      <c r="D11" s="9" t="s">
        <v>3</v>
      </c>
      <c r="E11" s="1"/>
    </row>
    <row r="12" spans="1:5" x14ac:dyDescent="0.25">
      <c r="A12" s="1"/>
      <c r="B12" s="68" t="s">
        <v>105</v>
      </c>
      <c r="C12" s="9">
        <v>0</v>
      </c>
      <c r="D12" s="9" t="s">
        <v>3</v>
      </c>
      <c r="E12" s="1"/>
    </row>
    <row r="13" spans="1:5" x14ac:dyDescent="0.25">
      <c r="A13" s="1"/>
      <c r="B13" s="68" t="s">
        <v>106</v>
      </c>
      <c r="C13" s="9">
        <v>0</v>
      </c>
      <c r="D13" s="9" t="s">
        <v>3</v>
      </c>
      <c r="E13" s="1"/>
    </row>
    <row r="14" spans="1:5" x14ac:dyDescent="0.25">
      <c r="A14" s="1"/>
      <c r="B14" s="68" t="s">
        <v>107</v>
      </c>
      <c r="C14" s="9">
        <v>0</v>
      </c>
      <c r="D14" s="9" t="s">
        <v>3</v>
      </c>
      <c r="E14" s="1"/>
    </row>
    <row r="15" spans="1:5" x14ac:dyDescent="0.25">
      <c r="A15" s="1"/>
      <c r="B15" s="68" t="s">
        <v>108</v>
      </c>
      <c r="C15" s="9">
        <v>0</v>
      </c>
      <c r="D15" s="9" t="s">
        <v>3</v>
      </c>
      <c r="E15" s="1"/>
    </row>
    <row r="16" spans="1:5" x14ac:dyDescent="0.25">
      <c r="A16" s="1"/>
      <c r="B16" s="68" t="s">
        <v>109</v>
      </c>
      <c r="C16" s="9">
        <v>0</v>
      </c>
      <c r="D16" s="9" t="s">
        <v>3</v>
      </c>
      <c r="E16" s="1"/>
    </row>
    <row r="17" spans="1:5" x14ac:dyDescent="0.25">
      <c r="A17" s="1"/>
      <c r="B17" s="68" t="s">
        <v>110</v>
      </c>
      <c r="C17" s="9">
        <v>0</v>
      </c>
      <c r="D17" s="9" t="s">
        <v>3</v>
      </c>
      <c r="E17" s="1"/>
    </row>
    <row r="18" spans="1:5" x14ac:dyDescent="0.25">
      <c r="A18" s="1"/>
      <c r="B18" s="75"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bkMHEG93FBnvvL+YJR7gHbppsoNaYVYjtFHCdk0a1qsXp7v6IyTjNJs18f2gRNslx0QVyqMF81f+gdZaiApYw==" saltValue="JRY2Z5fdJdhzqsdak7Fv7g=="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170</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171</v>
      </c>
      <c r="C8" s="109"/>
      <c r="D8" s="110"/>
      <c r="E8" s="1"/>
    </row>
    <row r="9" spans="1:5" ht="26.25" x14ac:dyDescent="0.25">
      <c r="A9" s="1"/>
      <c r="B9" s="78" t="s">
        <v>215</v>
      </c>
      <c r="C9" s="7">
        <v>0</v>
      </c>
      <c r="D9" s="8" t="s">
        <v>3</v>
      </c>
      <c r="E9" s="1"/>
    </row>
    <row r="10" spans="1:5" ht="14.25" customHeight="1" x14ac:dyDescent="0.25">
      <c r="A10" s="1"/>
      <c r="B10" s="65" t="s">
        <v>172</v>
      </c>
      <c r="C10" s="7">
        <v>0</v>
      </c>
      <c r="D10" s="8" t="s">
        <v>3</v>
      </c>
      <c r="E10" s="1"/>
    </row>
    <row r="11" spans="1:5" ht="14.25" customHeight="1" x14ac:dyDescent="0.25">
      <c r="A11" s="1"/>
      <c r="B11" s="81" t="s">
        <v>48</v>
      </c>
      <c r="C11" s="10">
        <f>C10-C9</f>
        <v>0</v>
      </c>
      <c r="D11" s="11" t="s">
        <v>3</v>
      </c>
      <c r="E11" s="1"/>
    </row>
    <row r="12" spans="1:5" ht="14.25" customHeight="1" x14ac:dyDescent="0.25">
      <c r="A12" s="1"/>
      <c r="B12" s="108" t="s">
        <v>217</v>
      </c>
      <c r="C12" s="109"/>
      <c r="D12" s="110"/>
      <c r="E12" s="1"/>
    </row>
    <row r="13" spans="1:5" ht="26.25" x14ac:dyDescent="0.25">
      <c r="A13" s="1"/>
      <c r="B13" s="78" t="s">
        <v>216</v>
      </c>
      <c r="C13" s="7">
        <v>320897</v>
      </c>
      <c r="D13" s="8" t="s">
        <v>3</v>
      </c>
      <c r="E13" s="1"/>
    </row>
    <row r="14" spans="1:5" ht="14.25" customHeight="1" x14ac:dyDescent="0.25">
      <c r="A14" s="1"/>
      <c r="B14" s="65" t="s">
        <v>173</v>
      </c>
      <c r="C14" s="7">
        <v>301579</v>
      </c>
      <c r="D14" s="8" t="s">
        <v>3</v>
      </c>
      <c r="E14" s="1"/>
    </row>
    <row r="15" spans="1:5" ht="14.25" customHeight="1" x14ac:dyDescent="0.25">
      <c r="A15" s="1"/>
      <c r="B15" s="81" t="s">
        <v>48</v>
      </c>
      <c r="C15" s="10">
        <f>C14-C13</f>
        <v>-19318</v>
      </c>
      <c r="D15" s="11" t="s">
        <v>3</v>
      </c>
      <c r="E15" s="1"/>
    </row>
    <row r="16" spans="1:5" ht="14.25" customHeight="1" x14ac:dyDescent="0.25">
      <c r="A16" s="1"/>
      <c r="B16" s="33" t="s">
        <v>174</v>
      </c>
      <c r="C16" s="12">
        <f>C11+C15</f>
        <v>-19318</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ASiq+5RRTYqGhEsDpFTi674Domagj5Gz5Hw3mB0Md0zEn2HuhtBMy97wUCmFFonH2nP82PL2X3L+mr2Q6VBkhA==" saltValue="A/NcQ7TjmdUK1le5cAXFs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113</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86</v>
      </c>
      <c r="C8" s="109"/>
      <c r="D8" s="109"/>
      <c r="E8" s="109"/>
      <c r="F8" s="109"/>
      <c r="G8" s="109"/>
      <c r="H8" s="109"/>
      <c r="I8" s="109"/>
      <c r="J8" s="109"/>
      <c r="K8" s="110"/>
      <c r="L8" s="1"/>
    </row>
    <row r="9" spans="1:12" ht="39.75" customHeight="1" x14ac:dyDescent="0.25">
      <c r="A9" s="1"/>
      <c r="B9" s="18" t="s">
        <v>0</v>
      </c>
      <c r="C9" s="18" t="s">
        <v>1</v>
      </c>
      <c r="D9" s="125" t="s">
        <v>96</v>
      </c>
      <c r="E9" s="126"/>
      <c r="F9" s="125" t="s">
        <v>2</v>
      </c>
      <c r="G9" s="126"/>
      <c r="H9" s="125" t="s">
        <v>95</v>
      </c>
      <c r="I9" s="126"/>
      <c r="J9" s="125" t="s">
        <v>26</v>
      </c>
      <c r="K9" s="126"/>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5" t="s">
        <v>219</v>
      </c>
      <c r="C11" s="76"/>
      <c r="D11" s="77"/>
      <c r="E11" s="77"/>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M9Cw6yBAifsTrTRa3RxnKYHl9nEm8qDP+nrt+nARvw8miUDH5M691a/j16hOnNNn7UOuWkH8wmOL48JL71uYRg==" saltValue="oK04CQM8VneYjqDlGmhl1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114</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79" t="s">
        <v>17</v>
      </c>
      <c r="C9" s="81" t="s">
        <v>11</v>
      </c>
      <c r="D9" s="80"/>
      <c r="E9" s="81"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223</v>
      </c>
      <c r="C11" s="21">
        <v>0</v>
      </c>
      <c r="D11" s="14" t="s">
        <v>3</v>
      </c>
      <c r="E11" s="9">
        <v>49608</v>
      </c>
      <c r="F11" s="14" t="s">
        <v>3</v>
      </c>
      <c r="G11" s="1"/>
    </row>
    <row r="12" spans="1:7" x14ac:dyDescent="0.25">
      <c r="A12" s="1"/>
      <c r="B12" s="24" t="s">
        <v>224</v>
      </c>
      <c r="C12" s="21">
        <v>0</v>
      </c>
      <c r="D12" s="14" t="s">
        <v>3</v>
      </c>
      <c r="E12" s="9">
        <v>425504</v>
      </c>
      <c r="F12" s="14" t="s">
        <v>3</v>
      </c>
      <c r="G12" s="1"/>
    </row>
    <row r="13" spans="1:7" x14ac:dyDescent="0.25">
      <c r="A13" s="1"/>
      <c r="B13" s="24" t="s">
        <v>225</v>
      </c>
      <c r="C13" s="21">
        <v>202841</v>
      </c>
      <c r="D13" s="14" t="s">
        <v>3</v>
      </c>
      <c r="E13" s="9">
        <v>0</v>
      </c>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202841</v>
      </c>
      <c r="D19" s="13" t="s">
        <v>3</v>
      </c>
      <c r="E19" s="12">
        <f>SUM(E10:E18)</f>
        <v>475112</v>
      </c>
      <c r="F19" s="13" t="s">
        <v>3</v>
      </c>
      <c r="G19" s="1"/>
    </row>
    <row r="20" spans="1:7" x14ac:dyDescent="0.25">
      <c r="A20" s="1"/>
      <c r="B20" s="33" t="s">
        <v>175</v>
      </c>
      <c r="C20" s="12">
        <f>C19*(1+'Fane 15. Nøgletal'!C10)</f>
        <v>216289.35829999999</v>
      </c>
      <c r="D20" s="13" t="s">
        <v>3</v>
      </c>
      <c r="E20" s="12">
        <f>E19*(1+'Fane 15. Nøgletal'!C10)</f>
        <v>506611.92560000002</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Qd8xgvbk6u9Js6y8CZVOXmBAcCXHdq0ULWyaAPrQePeUG11Po4Sg08tT8P88YvAZ2xw254DAnBQzE7iR5TYyEQ==" saltValue="Dq7EQaT18esgBJiT4msuI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115</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176</v>
      </c>
      <c r="C8" s="109"/>
      <c r="D8" s="109"/>
      <c r="E8" s="109"/>
      <c r="F8" s="110"/>
      <c r="G8" s="1"/>
    </row>
    <row r="9" spans="1:7" x14ac:dyDescent="0.25">
      <c r="A9" s="1"/>
      <c r="B9" s="79" t="s">
        <v>17</v>
      </c>
      <c r="C9" s="81" t="s">
        <v>11</v>
      </c>
      <c r="D9" s="80"/>
      <c r="E9" s="81" t="s">
        <v>27</v>
      </c>
      <c r="F9" s="32"/>
      <c r="G9" s="1"/>
    </row>
    <row r="10" spans="1:7" x14ac:dyDescent="0.25">
      <c r="A10" s="1"/>
      <c r="B10" s="24" t="s">
        <v>226</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7"/>
      <c r="C16" s="127"/>
      <c r="D16" s="127"/>
      <c r="E16" s="127"/>
      <c r="F16" s="127"/>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7"/>
      <c r="C29" s="127"/>
      <c r="D29" s="127"/>
      <c r="E29" s="127"/>
      <c r="F29" s="127"/>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9JkTS2eSzn66IjHfuV6guPfUvXkFc6T3amiESUlp+U/rCw5z3mq8vbXgjsv+4PD+ywM7RVEfd7SCMbJDsWrt7A==" saltValue="nyM3i/pg9ZE0/fHkfj5djQ=="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116</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8" t="s">
        <v>179</v>
      </c>
      <c r="C9" s="9">
        <f>232306.448857557*(1+'Fane 15. Nøgletal'!C9)</f>
        <v>251076.80992524759</v>
      </c>
      <c r="D9" s="14" t="s">
        <v>3</v>
      </c>
      <c r="E9" s="1"/>
    </row>
    <row r="10" spans="1:5" x14ac:dyDescent="0.25">
      <c r="A10" s="1"/>
      <c r="B10" s="64" t="s">
        <v>10</v>
      </c>
      <c r="C10" s="9">
        <f>-C9*'Fane 5. Individuelt eff. krav'!C9</f>
        <v>-3041.9181067528789</v>
      </c>
      <c r="D10" s="14" t="s">
        <v>3</v>
      </c>
      <c r="E10" s="1"/>
    </row>
    <row r="11" spans="1:5" x14ac:dyDescent="0.25">
      <c r="A11" s="1"/>
      <c r="B11" s="64" t="s">
        <v>22</v>
      </c>
      <c r="C11" s="9">
        <f>-C9*'Fane 15. Nøgletal'!C21</f>
        <v>-5021.5361985049522</v>
      </c>
      <c r="D11" s="14" t="s">
        <v>3</v>
      </c>
      <c r="E11" s="1"/>
    </row>
    <row r="12" spans="1:5" x14ac:dyDescent="0.25">
      <c r="A12" s="1"/>
      <c r="B12" s="75" t="s">
        <v>74</v>
      </c>
      <c r="C12" s="12">
        <f>SUM(C9:C11)*(1+'Fane 15. Nøgletal'!C9)^2</f>
        <v>283870.86060221499</v>
      </c>
      <c r="D12" s="13"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8" t="s">
        <v>179</v>
      </c>
      <c r="C15" s="9">
        <v>240576.55843688562</v>
      </c>
      <c r="D15" s="14" t="s">
        <v>3</v>
      </c>
      <c r="E15" s="1"/>
    </row>
    <row r="16" spans="1:5" x14ac:dyDescent="0.25">
      <c r="A16" s="1"/>
      <c r="B16" s="64" t="s">
        <v>10</v>
      </c>
      <c r="C16" s="9">
        <f>-C15*'Fane 5. Individuelt eff. krav'!C9</f>
        <v>-2914.7024346347857</v>
      </c>
      <c r="D16" s="14" t="s">
        <v>3</v>
      </c>
      <c r="E16" s="1"/>
    </row>
    <row r="17" spans="1:5" x14ac:dyDescent="0.25">
      <c r="A17" s="1"/>
      <c r="B17" s="64" t="s">
        <v>22</v>
      </c>
      <c r="C17" s="9">
        <f>-C15*'Fane 15. Nøgletal'!C21</f>
        <v>-4811.5311687377125</v>
      </c>
      <c r="D17" s="14" t="s">
        <v>3</v>
      </c>
      <c r="E17" s="1"/>
    </row>
    <row r="18" spans="1:5" x14ac:dyDescent="0.25">
      <c r="A18" s="1"/>
      <c r="B18" s="75" t="s">
        <v>85</v>
      </c>
      <c r="C18" s="12">
        <f>SUM(C15:C17)*(1+'Fane 15. Nøgletal'!C10)^3</f>
        <v>282302.72853508272</v>
      </c>
      <c r="D18" s="13" t="s">
        <v>3</v>
      </c>
      <c r="E18" s="1"/>
    </row>
    <row r="19" spans="1:5" x14ac:dyDescent="0.25">
      <c r="A19" s="1"/>
      <c r="B19" s="1"/>
      <c r="C19" s="1"/>
      <c r="D19" s="1"/>
      <c r="E19" s="1"/>
    </row>
    <row r="20" spans="1:5" ht="15" customHeight="1" x14ac:dyDescent="0.25">
      <c r="A20" s="1"/>
      <c r="B20" s="108" t="s">
        <v>140</v>
      </c>
      <c r="C20" s="109"/>
      <c r="D20" s="110"/>
      <c r="E20" s="1"/>
    </row>
    <row r="21" spans="1:5" x14ac:dyDescent="0.25">
      <c r="A21" s="1"/>
      <c r="B21" s="68" t="s">
        <v>179</v>
      </c>
      <c r="C21" s="9">
        <v>240576.55843688562</v>
      </c>
      <c r="D21" s="14" t="s">
        <v>3</v>
      </c>
      <c r="E21" s="1"/>
    </row>
    <row r="22" spans="1:5" x14ac:dyDescent="0.25">
      <c r="A22" s="1"/>
      <c r="B22" s="64" t="s">
        <v>10</v>
      </c>
      <c r="C22" s="9">
        <f>-C21*'Fane 5. Individuelt eff. krav'!C9</f>
        <v>-2914.7024346347857</v>
      </c>
      <c r="D22" s="14" t="s">
        <v>3</v>
      </c>
      <c r="E22" s="1"/>
    </row>
    <row r="23" spans="1:5" x14ac:dyDescent="0.25">
      <c r="A23" s="1"/>
      <c r="B23" s="64" t="s">
        <v>22</v>
      </c>
      <c r="C23" s="9">
        <f>-C21*'Fane 15. Nøgletal'!C21</f>
        <v>-4811.5311687377125</v>
      </c>
      <c r="D23" s="14" t="s">
        <v>3</v>
      </c>
      <c r="E23" s="1"/>
    </row>
    <row r="24" spans="1:5" x14ac:dyDescent="0.25">
      <c r="A24" s="1"/>
      <c r="B24" s="75" t="s">
        <v>141</v>
      </c>
      <c r="C24" s="12">
        <f>SUM(C21:C23)*(1+'Fane 15. Nøgletal'!C10)^4</f>
        <v>301019.39943695872</v>
      </c>
      <c r="D24" s="13" t="s">
        <v>3</v>
      </c>
      <c r="E24" s="1"/>
    </row>
    <row r="25" spans="1:5" x14ac:dyDescent="0.25">
      <c r="A25" s="1"/>
      <c r="B25" s="1"/>
      <c r="C25" s="1"/>
      <c r="D25" s="1"/>
      <c r="E25" s="1"/>
    </row>
    <row r="26" spans="1:5" ht="15" customHeight="1" x14ac:dyDescent="0.25">
      <c r="A26" s="1"/>
      <c r="B26" s="108" t="s">
        <v>180</v>
      </c>
      <c r="C26" s="109"/>
      <c r="D26" s="110"/>
      <c r="E26" s="1"/>
    </row>
    <row r="27" spans="1:5" ht="14.25" customHeight="1" x14ac:dyDescent="0.25">
      <c r="A27" s="1"/>
      <c r="B27" s="68" t="s">
        <v>179</v>
      </c>
      <c r="C27" s="9">
        <v>240576.55843688562</v>
      </c>
      <c r="D27" s="14" t="s">
        <v>3</v>
      </c>
      <c r="E27" s="1"/>
    </row>
    <row r="28" spans="1:5" x14ac:dyDescent="0.25">
      <c r="A28" s="1"/>
      <c r="B28" s="64" t="s">
        <v>10</v>
      </c>
      <c r="C28" s="9">
        <f>-C27*'Fane 5. Individuelt eff. krav'!C9</f>
        <v>-2914.7024346347857</v>
      </c>
      <c r="D28" s="14" t="s">
        <v>3</v>
      </c>
      <c r="E28" s="1"/>
    </row>
    <row r="29" spans="1:5" x14ac:dyDescent="0.25">
      <c r="A29" s="1"/>
      <c r="B29" s="64" t="s">
        <v>22</v>
      </c>
      <c r="C29" s="9">
        <f>-C27*'Fane 15. Nøgletal'!C21</f>
        <v>-4811.5311687377125</v>
      </c>
      <c r="D29" s="14" t="s">
        <v>3</v>
      </c>
      <c r="E29" s="1"/>
    </row>
    <row r="30" spans="1:5" x14ac:dyDescent="0.25">
      <c r="A30" s="1"/>
      <c r="B30" s="75" t="s">
        <v>181</v>
      </c>
      <c r="C30" s="12">
        <f>SUM(C27:C29)*(1+'Fane 15. Nøgletal'!C10)^5</f>
        <v>320976.98561962909</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JdPJlUC2VDxcG6m+Rlw5HJE1HhzZzlRIwVwhiRqsWUTLzleqGKxHIsD2MlJry5aTF/v7cJF7xKV3lUS5aklemA==" saltValue="sdkZejRDChbSL1c7LSCpm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117</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gQzbfV+VTFwasF5B28kzMisQmP64mxGscKMleHiySaoh/y7tnUQpFRALxNBynpfg4VHs02apqK5ZdnbT3dp8gQ==" saltValue="V8GuNnjhHzy8ySMQQT/X/Q=="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118</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183</v>
      </c>
      <c r="C8" s="109"/>
      <c r="D8" s="109"/>
      <c r="E8" s="109"/>
      <c r="F8" s="110"/>
      <c r="G8" s="1"/>
    </row>
    <row r="9" spans="1:7" x14ac:dyDescent="0.25">
      <c r="A9" s="1"/>
      <c r="B9" s="31" t="s">
        <v>18</v>
      </c>
      <c r="C9" s="128" t="s">
        <v>11</v>
      </c>
      <c r="D9" s="129"/>
      <c r="E9" s="128" t="s">
        <v>27</v>
      </c>
      <c r="F9" s="129"/>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7"/>
      <c r="C21" s="127"/>
      <c r="D21" s="127"/>
      <c r="E21" s="127"/>
      <c r="F21" s="127"/>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7"/>
      <c r="C27" s="127"/>
      <c r="D27" s="127"/>
      <c r="E27" s="127"/>
      <c r="F27" s="127"/>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aN32NTiVB/R+Yl4RRbwaEGmUSRk/fHVpL/2SK8uD017HeiLAQOpJaay2JuWBVedXSXAC3nATzE3Y2E+KTgEDw==" saltValue="FnVHCxY6eezqcgC64GhC3w=="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35859745.337082148</v>
      </c>
      <c r="D9" s="8" t="s">
        <v>3</v>
      </c>
      <c r="E9" s="1"/>
    </row>
    <row r="10" spans="1:5" ht="17.25" customHeight="1" x14ac:dyDescent="0.25">
      <c r="A10" s="1"/>
      <c r="B10" s="64" t="s">
        <v>35</v>
      </c>
      <c r="C10" s="7">
        <f>'Fane 11.1. Varige tillæg'!C20</f>
        <v>216289.35829999999</v>
      </c>
      <c r="D10" s="8" t="s">
        <v>3</v>
      </c>
      <c r="E10" s="1"/>
    </row>
    <row r="11" spans="1:5" ht="17.25" customHeight="1" x14ac:dyDescent="0.25">
      <c r="A11" s="1"/>
      <c r="B11" s="64" t="s">
        <v>36</v>
      </c>
      <c r="C11" s="9">
        <f>'Fane 11.1. Varige tillæg'!E20</f>
        <v>506611.92560000002</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2945395.7783588073</v>
      </c>
      <c r="D16" s="8" t="s">
        <v>3</v>
      </c>
      <c r="E16" s="1"/>
    </row>
    <row r="17" spans="1:5" ht="17.25" customHeight="1" x14ac:dyDescent="0.25">
      <c r="A17" s="1"/>
      <c r="B17" s="64" t="s">
        <v>10</v>
      </c>
      <c r="C17" s="38">
        <f>-SUM(C9,C10:C16)*'Fane 5. Individuelt eff. krav'!C9</f>
        <v>-478901.52792227134</v>
      </c>
      <c r="D17" s="8" t="s">
        <v>3</v>
      </c>
      <c r="E17" s="1"/>
    </row>
    <row r="18" spans="1:5" ht="17.25" customHeight="1" x14ac:dyDescent="0.25">
      <c r="A18" s="1"/>
      <c r="B18" s="64" t="s">
        <v>22</v>
      </c>
      <c r="C18" s="38">
        <f>-'Fane 4.1. Gen. krav - drift'!C17</f>
        <v>-150082.31103397708</v>
      </c>
      <c r="D18" s="8" t="s">
        <v>3</v>
      </c>
      <c r="E18" s="1"/>
    </row>
    <row r="19" spans="1:5" ht="17.25" customHeight="1" x14ac:dyDescent="0.25">
      <c r="A19" s="1"/>
      <c r="B19" s="64" t="s">
        <v>23</v>
      </c>
      <c r="C19" s="38">
        <f>-'Fane 4.2. Gen. krav - anlæg'!C17</f>
        <v>0</v>
      </c>
      <c r="D19" s="8" t="s">
        <v>3</v>
      </c>
      <c r="E19" s="43"/>
    </row>
    <row r="20" spans="1:5" ht="17.25" customHeight="1" x14ac:dyDescent="0.25">
      <c r="A20" s="1"/>
      <c r="B20" s="81" t="s">
        <v>21</v>
      </c>
      <c r="C20" s="10">
        <f>SUM(C9:C19)</f>
        <v>38899058.560384706</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16755937.50290674</v>
      </c>
      <c r="D22" s="11" t="s">
        <v>3</v>
      </c>
      <c r="E22" s="1"/>
    </row>
    <row r="23" spans="1:5" ht="15" customHeight="1" x14ac:dyDescent="0.25">
      <c r="A23" s="1"/>
      <c r="B23" s="33" t="s">
        <v>42</v>
      </c>
      <c r="C23" s="28"/>
      <c r="D23" s="19"/>
      <c r="E23" s="1"/>
    </row>
    <row r="24" spans="1:5" ht="15" customHeight="1" x14ac:dyDescent="0.25">
      <c r="A24" s="1"/>
      <c r="B24" s="81" t="s">
        <v>42</v>
      </c>
      <c r="C24" s="10">
        <f>'Fane 12. Periodevise driftsomk.'!C12</f>
        <v>283870.86060221499</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362553.88247916847</v>
      </c>
      <c r="D32" s="11" t="s">
        <v>3</v>
      </c>
      <c r="E32" s="1"/>
    </row>
    <row r="33" spans="1:5" ht="15" customHeight="1" x14ac:dyDescent="0.25">
      <c r="A33" s="1"/>
      <c r="B33" s="33" t="s">
        <v>154</v>
      </c>
      <c r="C33" s="28"/>
      <c r="D33" s="19"/>
      <c r="E33" s="1"/>
    </row>
    <row r="34" spans="1:5" x14ac:dyDescent="0.25">
      <c r="A34" s="1"/>
      <c r="B34" s="31" t="s">
        <v>154</v>
      </c>
      <c r="C34" s="10">
        <f>'Fane 9. Korrektion af ØR2023'!C16</f>
        <v>-19318</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56282102.806372829</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VwABwqaDd3jf/Zagnfg4rOpI739zLuTivFJ7fP/Q0pk+88v93YdKEU2ts5B7RMOFRHMUhW7b6ryfrktYVPnYbA==" saltValue="VxZqjvGAPxqLVq8J9shxZ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119</v>
      </c>
      <c r="C3" s="106"/>
      <c r="D3" s="1"/>
    </row>
    <row r="4" spans="1:4" ht="15" customHeight="1" x14ac:dyDescent="0.25">
      <c r="A4" s="1"/>
      <c r="B4" s="106"/>
      <c r="C4" s="106"/>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228</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229</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lHy1HyFyM4NIeaced7TrH5nCiU0qTC6vz+AF9lWRyA14YQfl+doWS1arODAhYQbFfg3zOh0LHK2blayAdnDpbQ==" saltValue="TuIROmkjJRRRNyxEZICBn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38899058.560384706</v>
      </c>
      <c r="D9" s="8" t="s">
        <v>3</v>
      </c>
      <c r="E9" s="1"/>
    </row>
    <row r="10" spans="1:5" ht="15" customHeight="1" x14ac:dyDescent="0.25">
      <c r="A10" s="1"/>
      <c r="B10" s="26" t="s">
        <v>19</v>
      </c>
      <c r="C10" s="7">
        <f>C9*'Fane 15. Nøgletal'!C10</f>
        <v>2579007.5825535059</v>
      </c>
      <c r="D10" s="8" t="s">
        <v>3</v>
      </c>
      <c r="E10" s="1"/>
    </row>
    <row r="11" spans="1:5" ht="15" customHeight="1" x14ac:dyDescent="0.25">
      <c r="A11" s="1"/>
      <c r="B11" s="26" t="s">
        <v>10</v>
      </c>
      <c r="C11" s="9">
        <f>-SUM(C9:C10)*'Fane 5. Individuelt eff. krav'!C9</f>
        <v>-502527.01741296775</v>
      </c>
      <c r="D11" s="8" t="s">
        <v>3</v>
      </c>
      <c r="E11" s="1"/>
    </row>
    <row r="12" spans="1:5" ht="15" customHeight="1" x14ac:dyDescent="0.25">
      <c r="A12" s="1"/>
      <c r="B12" s="26" t="s">
        <v>22</v>
      </c>
      <c r="C12" s="9">
        <f>-'Fane 4.1. Gen. krav - drift'!C22</f>
        <v>-156832.11289041917</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40818707.012634821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17534216.859049458</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driftsomk.'!C18</f>
        <v>282302.72853508272</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58635226.600219369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ESiavvfMpmgpxCDKosLG/FEvtNSnUpKOjvCaf3Qc0u21HpMeNaTBrlztxhu0ykDOx9yufM0GZhHpYlELc91Pog==" saltValue="fUQQLn2LJBMZNJkzDnVBc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157</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40818707.012634821</v>
      </c>
      <c r="D9" s="8" t="s">
        <v>3</v>
      </c>
      <c r="E9" s="1"/>
    </row>
    <row r="10" spans="1:5" ht="15" customHeight="1" x14ac:dyDescent="0.25">
      <c r="A10" s="1"/>
      <c r="B10" s="26" t="s">
        <v>19</v>
      </c>
      <c r="C10" s="7">
        <f>SUM(C9:C9)*'Fane 15. Nøgletal'!C10</f>
        <v>2706280.2749376884</v>
      </c>
      <c r="D10" s="8" t="s">
        <v>3</v>
      </c>
      <c r="E10" s="1"/>
    </row>
    <row r="11" spans="1:5" ht="15" customHeight="1" x14ac:dyDescent="0.25">
      <c r="A11" s="1"/>
      <c r="B11" s="26" t="s">
        <v>10</v>
      </c>
      <c r="C11" s="9">
        <f>-SUM(C9:C10)*'Fane 5. Individuelt eff. krav'!C9</f>
        <v>-527326.46621436137</v>
      </c>
      <c r="D11" s="8" t="s">
        <v>3</v>
      </c>
      <c r="E11" s="1"/>
    </row>
    <row r="12" spans="1:5" ht="15" customHeight="1" x14ac:dyDescent="0.25">
      <c r="A12" s="1"/>
      <c r="B12" s="26" t="s">
        <v>22</v>
      </c>
      <c r="C12" s="9">
        <f>-'Fane 4.1. Gen. krav - drift'!C27</f>
        <v>-163885.48033555289</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42833775.341022596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18696230.310004435</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driftsomk.'!C24</f>
        <v>301019.39943695872</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61831025.050463989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JKx/Y330I6f/cUdqsV7Eh7O/UftmU9LAd1uJOyXcZpZRFHBEgQhytA9UcUHhc2oM4kNjxmyn8CXL795co4wpGQ==" saltValue="f2Y23p7kzk9UaVS1P4Jz8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158</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42833775.341022596</v>
      </c>
      <c r="D9" s="8" t="s">
        <v>3</v>
      </c>
      <c r="E9" s="1"/>
    </row>
    <row r="10" spans="1:5" ht="15" customHeight="1" x14ac:dyDescent="0.25">
      <c r="A10" s="1"/>
      <c r="B10" s="26" t="s">
        <v>19</v>
      </c>
      <c r="C10" s="7">
        <f>SUM(C9:C9)*'Fane 15. Nøgletal'!C10</f>
        <v>2839879.305109798</v>
      </c>
      <c r="D10" s="8" t="s">
        <v>3</v>
      </c>
      <c r="E10" s="1"/>
    </row>
    <row r="11" spans="1:5" ht="15" customHeight="1" x14ac:dyDescent="0.25">
      <c r="A11" s="1"/>
      <c r="B11" s="26" t="s">
        <v>10</v>
      </c>
      <c r="C11" s="9">
        <f>-SUM(C9:C10)*'Fane 5. Individuelt eff. krav'!C9</f>
        <v>-553358.62006137788</v>
      </c>
      <c r="D11" s="8" t="s">
        <v>3</v>
      </c>
      <c r="E11" s="1"/>
    </row>
    <row r="12" spans="1:5" ht="15" customHeight="1" x14ac:dyDescent="0.25">
      <c r="A12" s="1"/>
      <c r="B12" s="26" t="s">
        <v>22</v>
      </c>
      <c r="C12" s="9">
        <f>-'Fane 4.1. Gen. krav - drift'!C32</f>
        <v>-171256.06592816405</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44949039.960142858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19935278.506657731</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driftsomk.'!C30</f>
        <v>320976.98561962909</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65205295.452420212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DRdC2z5mXRbiesllAiGotN/wieRHno9gqzJI1f3GjzrpZQwQD5+CaLoBG3PN4BpBqMcAO4/BqkdeXLvl68sHg==" saltValue="PzJajZxqprRZdnDn7Ocy+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6" t="s">
        <v>161</v>
      </c>
      <c r="C3" s="106"/>
      <c r="D3" s="106"/>
      <c r="E3" s="1"/>
    </row>
    <row r="4" spans="1:5" ht="15" customHeight="1" x14ac:dyDescent="0.25">
      <c r="A4" s="1"/>
      <c r="B4" s="106"/>
      <c r="C4" s="106"/>
      <c r="D4" s="106"/>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32817592.305239297</v>
      </c>
      <c r="D9" s="8" t="s">
        <v>3</v>
      </c>
      <c r="E9" s="1"/>
    </row>
    <row r="10" spans="1:5" ht="15" customHeight="1" x14ac:dyDescent="0.25">
      <c r="A10" s="1"/>
      <c r="B10" s="64" t="s">
        <v>35</v>
      </c>
      <c r="C10" s="7">
        <v>896839.1936</v>
      </c>
      <c r="D10" s="8" t="s">
        <v>3</v>
      </c>
      <c r="E10" s="1"/>
    </row>
    <row r="11" spans="1:5" ht="15" customHeight="1" x14ac:dyDescent="0.25">
      <c r="A11" s="1"/>
      <c r="B11" s="64" t="s">
        <v>36</v>
      </c>
      <c r="C11" s="9">
        <v>0</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2724126.0651062154</v>
      </c>
      <c r="D16" s="8" t="s">
        <v>3</v>
      </c>
      <c r="E16" s="1"/>
    </row>
    <row r="17" spans="1:5" ht="15" customHeight="1" x14ac:dyDescent="0.25">
      <c r="A17" s="1"/>
      <c r="B17" s="64" t="s">
        <v>10</v>
      </c>
      <c r="C17" s="38">
        <v>-441470.91111570172</v>
      </c>
      <c r="D17" s="8" t="s">
        <v>3</v>
      </c>
      <c r="E17" s="1"/>
    </row>
    <row r="18" spans="1:5" ht="15" customHeight="1" x14ac:dyDescent="0.25">
      <c r="A18" s="1"/>
      <c r="B18" s="64" t="s">
        <v>22</v>
      </c>
      <c r="C18" s="38">
        <v>-137341.31574766166</v>
      </c>
      <c r="D18" s="8" t="s">
        <v>3</v>
      </c>
      <c r="E18" s="1"/>
    </row>
    <row r="19" spans="1:5" ht="15" customHeight="1" x14ac:dyDescent="0.25">
      <c r="A19" s="1"/>
      <c r="B19" s="64" t="s">
        <v>23</v>
      </c>
      <c r="C19" s="38">
        <v>0</v>
      </c>
      <c r="D19" s="8" t="s">
        <v>3</v>
      </c>
      <c r="E19" s="43"/>
    </row>
    <row r="20" spans="1:5" ht="15" customHeight="1" x14ac:dyDescent="0.25">
      <c r="A20" s="1"/>
      <c r="B20" s="81" t="s">
        <v>21</v>
      </c>
      <c r="C20" s="10">
        <v>35859745.337082148</v>
      </c>
      <c r="D20" s="11" t="s">
        <v>3</v>
      </c>
      <c r="E20" s="1"/>
    </row>
    <row r="21" spans="1:5" ht="15" customHeight="1" x14ac:dyDescent="0.25">
      <c r="A21" s="1"/>
      <c r="B21" s="33" t="s">
        <v>12</v>
      </c>
      <c r="C21" s="28"/>
      <c r="D21" s="19"/>
      <c r="E21" s="1"/>
    </row>
    <row r="22" spans="1:5" ht="15" customHeight="1" x14ac:dyDescent="0.25">
      <c r="A22" s="1"/>
      <c r="B22" s="31" t="s">
        <v>12</v>
      </c>
      <c r="C22" s="10">
        <v>21291242.460777599</v>
      </c>
      <c r="D22" s="11" t="s">
        <v>3</v>
      </c>
      <c r="E22" s="1"/>
    </row>
    <row r="23" spans="1:5" ht="15" customHeight="1" x14ac:dyDescent="0.25">
      <c r="A23" s="1"/>
      <c r="B23" s="33" t="s">
        <v>42</v>
      </c>
      <c r="C23" s="28"/>
      <c r="D23" s="19"/>
      <c r="E23" s="1"/>
    </row>
    <row r="24" spans="1:5" ht="15" customHeight="1" x14ac:dyDescent="0.25">
      <c r="A24" s="1"/>
      <c r="B24" s="81" t="s">
        <v>42</v>
      </c>
      <c r="C24" s="10">
        <v>262648.83475408447</v>
      </c>
      <c r="D24" s="11" t="s">
        <v>3</v>
      </c>
      <c r="E24" s="1"/>
    </row>
    <row r="25" spans="1:5" x14ac:dyDescent="0.25">
      <c r="A25" s="1"/>
      <c r="B25" s="41" t="s">
        <v>41</v>
      </c>
      <c r="C25" s="39"/>
      <c r="D25" s="40"/>
      <c r="E25" s="1"/>
    </row>
    <row r="26" spans="1:5" ht="15" customHeight="1" x14ac:dyDescent="0.25">
      <c r="A26" s="1"/>
      <c r="B26" s="64" t="s">
        <v>89</v>
      </c>
      <c r="C26" s="38">
        <v>182784.09707264</v>
      </c>
      <c r="D26" s="8" t="s">
        <v>3</v>
      </c>
      <c r="E26" s="1"/>
    </row>
    <row r="27" spans="1:5" ht="15" customHeight="1" x14ac:dyDescent="0.25">
      <c r="A27" s="1"/>
      <c r="B27" s="64" t="s">
        <v>38</v>
      </c>
      <c r="C27" s="38">
        <v>0</v>
      </c>
      <c r="D27" s="8" t="s">
        <v>3</v>
      </c>
      <c r="E27" s="1"/>
    </row>
    <row r="28" spans="1:5" ht="15" customHeight="1" x14ac:dyDescent="0.25">
      <c r="A28" s="1"/>
      <c r="B28" s="64" t="s">
        <v>92</v>
      </c>
      <c r="C28" s="38">
        <v>-5870.200497257616</v>
      </c>
      <c r="D28" s="8" t="s">
        <v>3</v>
      </c>
      <c r="E28" s="1"/>
    </row>
    <row r="29" spans="1:5" ht="15" customHeight="1" x14ac:dyDescent="0.25">
      <c r="A29" s="1"/>
      <c r="B29" s="64" t="s">
        <v>93</v>
      </c>
      <c r="C29" s="38">
        <v>0</v>
      </c>
      <c r="D29" s="8" t="s">
        <v>3</v>
      </c>
      <c r="E29" s="1"/>
    </row>
    <row r="30" spans="1:5" ht="15" customHeight="1" x14ac:dyDescent="0.25">
      <c r="A30" s="1"/>
      <c r="B30" s="67" t="s">
        <v>43</v>
      </c>
      <c r="C30" s="10">
        <v>176913.89657538239</v>
      </c>
      <c r="D30" s="11" t="s">
        <v>3</v>
      </c>
      <c r="E30" s="1"/>
    </row>
    <row r="31" spans="1:5" ht="15" customHeight="1" x14ac:dyDescent="0.25">
      <c r="A31" s="1"/>
      <c r="B31" s="33" t="s">
        <v>69</v>
      </c>
      <c r="C31" s="28"/>
      <c r="D31" s="19"/>
      <c r="E31" s="1"/>
    </row>
    <row r="32" spans="1:5" ht="15" customHeight="1" x14ac:dyDescent="0.25">
      <c r="A32" s="1"/>
      <c r="B32" s="31" t="s">
        <v>79</v>
      </c>
      <c r="C32" s="10">
        <v>-362554</v>
      </c>
      <c r="D32" s="11" t="s">
        <v>3</v>
      </c>
      <c r="E32" s="1"/>
    </row>
    <row r="33" spans="1:5" x14ac:dyDescent="0.25">
      <c r="A33" s="1"/>
      <c r="B33" s="33" t="s">
        <v>128</v>
      </c>
      <c r="C33" s="28"/>
      <c r="D33" s="19"/>
      <c r="E33" s="1"/>
    </row>
    <row r="34" spans="1:5" ht="15.4" customHeight="1" x14ac:dyDescent="0.25">
      <c r="A34" s="1"/>
      <c r="B34" s="31" t="s">
        <v>128</v>
      </c>
      <c r="C34" s="10">
        <v>-19179</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57208817.529189214</v>
      </c>
      <c r="D37" s="30" t="s">
        <v>3</v>
      </c>
      <c r="E37" s="1"/>
    </row>
    <row r="38" spans="1:5" ht="30" customHeight="1" x14ac:dyDescent="0.25">
      <c r="A38" s="1"/>
      <c r="B38" s="107" t="s">
        <v>227</v>
      </c>
      <c r="C38" s="107"/>
      <c r="D38" s="107"/>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7enIJ4IYF8riNhqMZGTP7wT2o8o2wQ9jKNKvw86y7rPnpAXo4zOGGdG2N4Ni8RB7XwLc2m/jJ6bES5ZopY3sDg==" saltValue="C3COk+hdYH8Geku9pUIK/w=="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6" t="s">
        <v>56</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4"/>
      <c r="C6" s="74"/>
      <c r="D6" s="74"/>
      <c r="E6" s="1"/>
    </row>
    <row r="7" spans="1:5" x14ac:dyDescent="0.25">
      <c r="A7" s="1"/>
      <c r="B7" s="1"/>
      <c r="C7" s="1"/>
      <c r="D7" s="1"/>
      <c r="E7" s="1"/>
    </row>
    <row r="8" spans="1:5" x14ac:dyDescent="0.25">
      <c r="A8" s="1"/>
      <c r="B8" s="108" t="s">
        <v>123</v>
      </c>
      <c r="C8" s="109"/>
      <c r="D8" s="110"/>
      <c r="E8" s="1"/>
    </row>
    <row r="9" spans="1:5" x14ac:dyDescent="0.25">
      <c r="A9" s="1"/>
      <c r="B9" s="65" t="s">
        <v>88</v>
      </c>
      <c r="C9" s="23">
        <v>5897761.9869402042</v>
      </c>
      <c r="D9" s="14" t="s">
        <v>3</v>
      </c>
      <c r="E9" s="1"/>
    </row>
    <row r="10" spans="1:5" x14ac:dyDescent="0.25">
      <c r="A10" s="1"/>
      <c r="B10" s="65" t="s">
        <v>125</v>
      </c>
      <c r="C10" s="23">
        <f>('Fane 3. Omkostninger i ØR2024'!C10+'Fane 3. Omkostninger i ØR2024'!C12+'Fane 3. Omkostninger i ØR2024'!C14)*(1+'Fane 15. Nøgletal'!C9)</f>
        <v>969303.80044288002</v>
      </c>
      <c r="D10" s="14" t="s">
        <v>3</v>
      </c>
      <c r="E10" s="1"/>
    </row>
    <row r="11" spans="1:5" x14ac:dyDescent="0.25">
      <c r="A11" s="1"/>
      <c r="B11" s="65" t="s">
        <v>131</v>
      </c>
      <c r="C11" s="23">
        <f>C9*'Fane 15. Nøgletal'!C21+C10*'Fane 15. Nøgletal'!C21</f>
        <v>137341.31574766169</v>
      </c>
      <c r="D11" s="14" t="s">
        <v>3</v>
      </c>
      <c r="E11" s="1"/>
    </row>
    <row r="12" spans="1:5" x14ac:dyDescent="0.25">
      <c r="A12" s="1"/>
      <c r="B12" s="33"/>
      <c r="C12" s="28"/>
      <c r="D12" s="19"/>
      <c r="E12" s="1"/>
    </row>
    <row r="13" spans="1:5" x14ac:dyDescent="0.25">
      <c r="A13" s="1"/>
      <c r="B13" s="1"/>
      <c r="C13" s="1"/>
      <c r="D13" s="1"/>
      <c r="E13" s="1"/>
    </row>
    <row r="14" spans="1:5" x14ac:dyDescent="0.25">
      <c r="A14" s="1"/>
      <c r="B14" s="108" t="s">
        <v>124</v>
      </c>
      <c r="C14" s="109"/>
      <c r="D14" s="110"/>
      <c r="E14" s="1"/>
    </row>
    <row r="15" spans="1:5" x14ac:dyDescent="0.25">
      <c r="A15" s="1"/>
      <c r="B15" s="65" t="s">
        <v>133</v>
      </c>
      <c r="C15" s="23">
        <f>(C9+C10-C11)*(1+'Fane 15. Nøgletal'!C9)</f>
        <v>7273486.2089435644</v>
      </c>
      <c r="D15" s="14" t="s">
        <v>3</v>
      </c>
      <c r="E15" s="1"/>
    </row>
    <row r="16" spans="1:5" x14ac:dyDescent="0.25">
      <c r="A16" s="1"/>
      <c r="B16" s="65" t="s">
        <v>184</v>
      </c>
      <c r="C16" s="23">
        <f>('Fane 2.1. Økonomisk ramme 2025'!C10+'Fane 2.1. Økonomisk ramme 2025'!C12+'Fane 2.1. Økonomisk ramme 2025'!C14)*(1+'Fane 15. Nøgletal'!C10)</f>
        <v>230629.34275529001</v>
      </c>
      <c r="D16" s="14" t="s">
        <v>3</v>
      </c>
      <c r="E16" s="1"/>
    </row>
    <row r="17" spans="1:5" x14ac:dyDescent="0.25">
      <c r="A17" s="1"/>
      <c r="B17" s="65" t="s">
        <v>132</v>
      </c>
      <c r="C17" s="23">
        <f>C15*'Fane 15. Nøgletal'!C21+C16*'Fane 15. Nøgletal'!C21</f>
        <v>150082.31103397708</v>
      </c>
      <c r="D17" s="14" t="s">
        <v>3</v>
      </c>
      <c r="E17" s="1"/>
    </row>
    <row r="18" spans="1:5" x14ac:dyDescent="0.25">
      <c r="A18" s="1"/>
      <c r="B18" s="33"/>
      <c r="C18" s="28"/>
      <c r="D18" s="19"/>
      <c r="E18" s="1"/>
    </row>
    <row r="19" spans="1:5" x14ac:dyDescent="0.25">
      <c r="A19" s="1"/>
      <c r="B19" s="1"/>
      <c r="C19" s="63"/>
      <c r="D19" s="1"/>
      <c r="E19" s="1"/>
    </row>
    <row r="20" spans="1:5" x14ac:dyDescent="0.25">
      <c r="A20" s="1"/>
      <c r="B20" s="108" t="s">
        <v>145</v>
      </c>
      <c r="C20" s="109"/>
      <c r="D20" s="110"/>
      <c r="E20" s="1"/>
    </row>
    <row r="21" spans="1:5" x14ac:dyDescent="0.25">
      <c r="A21" s="1"/>
      <c r="B21" s="65" t="s">
        <v>189</v>
      </c>
      <c r="C21" s="23">
        <f>(C15+C16-C17)*(1+'Fane 15. Nøgletal'!C10)</f>
        <v>7841605.6445209589</v>
      </c>
      <c r="D21" s="14" t="s">
        <v>3</v>
      </c>
      <c r="E21" s="1"/>
    </row>
    <row r="22" spans="1:5" x14ac:dyDescent="0.25">
      <c r="A22" s="1"/>
      <c r="B22" s="65" t="s">
        <v>196</v>
      </c>
      <c r="C22" s="23">
        <f>C21*'Fane 15. Nøgletal'!C21</f>
        <v>156832.11289041917</v>
      </c>
      <c r="D22" s="14" t="s">
        <v>3</v>
      </c>
      <c r="E22" s="1"/>
    </row>
    <row r="23" spans="1:5" x14ac:dyDescent="0.25">
      <c r="A23" s="1"/>
      <c r="B23" s="33"/>
      <c r="C23" s="28"/>
      <c r="D23" s="19"/>
      <c r="E23" s="1"/>
    </row>
    <row r="24" spans="1:5" x14ac:dyDescent="0.25">
      <c r="A24" s="1"/>
      <c r="B24" s="1"/>
      <c r="C24" s="1"/>
      <c r="D24" s="1"/>
      <c r="E24" s="1"/>
    </row>
    <row r="25" spans="1:5" x14ac:dyDescent="0.25">
      <c r="A25" s="1"/>
      <c r="B25" s="108" t="s">
        <v>187</v>
      </c>
      <c r="C25" s="109"/>
      <c r="D25" s="110"/>
      <c r="E25" s="1"/>
    </row>
    <row r="26" spans="1:5" x14ac:dyDescent="0.25">
      <c r="A26" s="1"/>
      <c r="B26" s="65" t="s">
        <v>190</v>
      </c>
      <c r="C26" s="23">
        <f>(C21-C22)*(1+'Fane 15. Nøgletal'!C10)</f>
        <v>8194274.0167776439</v>
      </c>
      <c r="D26" s="14" t="s">
        <v>3</v>
      </c>
      <c r="E26" s="1"/>
    </row>
    <row r="27" spans="1:5" x14ac:dyDescent="0.25">
      <c r="A27" s="1"/>
      <c r="B27" s="65" t="s">
        <v>194</v>
      </c>
      <c r="C27" s="23">
        <f>C26*'Fane 15. Nøgletal'!C21</f>
        <v>163885.48033555289</v>
      </c>
      <c r="D27" s="14" t="s">
        <v>3</v>
      </c>
      <c r="E27" s="1"/>
    </row>
    <row r="28" spans="1:5" x14ac:dyDescent="0.25">
      <c r="A28" s="1"/>
      <c r="B28" s="33"/>
      <c r="C28" s="28"/>
      <c r="D28" s="19"/>
      <c r="E28" s="1"/>
    </row>
    <row r="29" spans="1:5" x14ac:dyDescent="0.25">
      <c r="A29" s="1"/>
      <c r="B29" s="1"/>
      <c r="C29" s="1"/>
      <c r="D29" s="1"/>
      <c r="E29" s="1"/>
    </row>
    <row r="30" spans="1:5" x14ac:dyDescent="0.25">
      <c r="A30" s="1"/>
      <c r="B30" s="108" t="s">
        <v>188</v>
      </c>
      <c r="C30" s="109"/>
      <c r="D30" s="110"/>
      <c r="E30" s="1"/>
    </row>
    <row r="31" spans="1:5" x14ac:dyDescent="0.25">
      <c r="A31" s="1"/>
      <c r="B31" s="65" t="s">
        <v>191</v>
      </c>
      <c r="C31" s="23">
        <f>(C26-C27)*(1+'Fane 15. Nøgletal'!C10)</f>
        <v>8562803.2964082025</v>
      </c>
      <c r="D31" s="14" t="s">
        <v>3</v>
      </c>
      <c r="E31" s="1"/>
    </row>
    <row r="32" spans="1:5" x14ac:dyDescent="0.25">
      <c r="A32" s="1"/>
      <c r="B32" s="65" t="s">
        <v>195</v>
      </c>
      <c r="C32" s="23">
        <f>C31*'Fane 15. Nøgletal'!C21</f>
        <v>171256.06592816405</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QSpIUFWaAFGaNypeOv1iNg0RxnEZFF8Gh2gK7JnsB2D5XU+GTZiVOyWvo+jdprNgbY+ZDlaip5NR9MVDBlVVWQ==" saltValue="Wppwx3xtJzkC9VBcIJHPJQ=="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9"/>
      <c r="C6" s="69"/>
      <c r="D6" s="69"/>
      <c r="E6" s="1"/>
    </row>
    <row r="7" spans="1:5" x14ac:dyDescent="0.25">
      <c r="A7" s="1"/>
      <c r="B7" s="1"/>
      <c r="C7" s="1"/>
      <c r="D7" s="1"/>
      <c r="E7" s="1"/>
    </row>
    <row r="8" spans="1:5" x14ac:dyDescent="0.25">
      <c r="A8" s="1"/>
      <c r="B8" s="108" t="s">
        <v>147</v>
      </c>
      <c r="C8" s="109"/>
      <c r="D8" s="110"/>
      <c r="E8" s="1"/>
    </row>
    <row r="9" spans="1:5" x14ac:dyDescent="0.25">
      <c r="A9" s="1"/>
      <c r="B9" s="65" t="s">
        <v>134</v>
      </c>
      <c r="C9" s="23">
        <v>33878766.702358201</v>
      </c>
      <c r="D9" s="14" t="s">
        <v>3</v>
      </c>
      <c r="E9" s="1"/>
    </row>
    <row r="10" spans="1:5" x14ac:dyDescent="0.25">
      <c r="A10" s="1"/>
      <c r="B10" s="65" t="s">
        <v>126</v>
      </c>
      <c r="C10" s="82">
        <f>('Fane 3. Omkostninger i ØR2024'!C11+'Fane 3. Omkostninger i ØR2024'!C13+'Fane 3. Omkostninger i ØR2024'!C15)*(1+'Fane 15. Nøgletal'!C9)</f>
        <v>0</v>
      </c>
      <c r="D10" s="14" t="s">
        <v>3</v>
      </c>
      <c r="E10" s="1"/>
    </row>
    <row r="11" spans="1:5" x14ac:dyDescent="0.25">
      <c r="A11" s="1"/>
      <c r="B11" s="65" t="s">
        <v>135</v>
      </c>
      <c r="C11" s="82">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8" t="s">
        <v>146</v>
      </c>
      <c r="C14" s="109"/>
      <c r="D14" s="110"/>
      <c r="E14" s="1"/>
    </row>
    <row r="15" spans="1:5" x14ac:dyDescent="0.25">
      <c r="A15" s="1"/>
      <c r="B15" s="65" t="s">
        <v>136</v>
      </c>
      <c r="C15" s="23">
        <f>(C9+C10-C11)*(1+'Fane 15. Nøgletal'!C9)</f>
        <v>36616171.051908746</v>
      </c>
      <c r="D15" s="14" t="s">
        <v>3</v>
      </c>
      <c r="E15" s="1"/>
    </row>
    <row r="16" spans="1:5" x14ac:dyDescent="0.25">
      <c r="A16" s="1"/>
      <c r="B16" s="65" t="s">
        <v>185</v>
      </c>
      <c r="C16" s="23">
        <f>('Fane 2.1. Økonomisk ramme 2025'!C11+'Fane 2.1. Økonomisk ramme 2025'!C13+'Fane 2.1. Økonomisk ramme 2025'!C15)*(1+'Fane 15. Nøgletal'!C10)</f>
        <v>540200.29626728001</v>
      </c>
      <c r="D16" s="14" t="s">
        <v>3</v>
      </c>
      <c r="E16" s="1"/>
    </row>
    <row r="17" spans="1:5" x14ac:dyDescent="0.25">
      <c r="A17" s="1"/>
      <c r="B17" s="65" t="s">
        <v>137</v>
      </c>
      <c r="C17" s="82">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8" t="s">
        <v>82</v>
      </c>
      <c r="C20" s="109"/>
      <c r="D20" s="110"/>
      <c r="E20" s="1"/>
    </row>
    <row r="21" spans="1:5" x14ac:dyDescent="0.25">
      <c r="A21" s="1"/>
      <c r="B21" s="65" t="s">
        <v>192</v>
      </c>
      <c r="C21" s="23">
        <f>(C15+C16-C17)*(1+'Fane 15. Nøgletal'!C10)</f>
        <v>39619838.768560097</v>
      </c>
      <c r="D21" s="14" t="s">
        <v>3</v>
      </c>
      <c r="E21" s="1"/>
    </row>
    <row r="22" spans="1:5" x14ac:dyDescent="0.25">
      <c r="A22" s="1"/>
      <c r="B22" s="65" t="s">
        <v>197</v>
      </c>
      <c r="C22" s="82">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8" t="s">
        <v>138</v>
      </c>
      <c r="C25" s="109"/>
      <c r="D25" s="110"/>
      <c r="E25" s="1"/>
    </row>
    <row r="26" spans="1:5" x14ac:dyDescent="0.25">
      <c r="A26" s="1"/>
      <c r="B26" s="65" t="s">
        <v>193</v>
      </c>
      <c r="C26" s="23">
        <f>(C21-C22)*(1+'Fane 15. Nøgletal'!C10)</f>
        <v>42246634.078915633</v>
      </c>
      <c r="D26" s="14" t="s">
        <v>3</v>
      </c>
      <c r="E26" s="1"/>
    </row>
    <row r="27" spans="1:5" x14ac:dyDescent="0.25">
      <c r="A27" s="1"/>
      <c r="B27" s="65" t="s">
        <v>198</v>
      </c>
      <c r="C27" s="82">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8" t="s">
        <v>163</v>
      </c>
      <c r="C30" s="109"/>
      <c r="D30" s="110"/>
      <c r="E30" s="1"/>
    </row>
    <row r="31" spans="1:5" x14ac:dyDescent="0.25">
      <c r="A31" s="1"/>
      <c r="B31" s="65" t="s">
        <v>200</v>
      </c>
      <c r="C31" s="23">
        <f>(C26-C27)*(1+'Fane 15. Nøgletal'!C10)</f>
        <v>45047585.918347739</v>
      </c>
      <c r="D31" s="14" t="s">
        <v>3</v>
      </c>
      <c r="E31" s="1"/>
    </row>
    <row r="32" spans="1:5" x14ac:dyDescent="0.25">
      <c r="A32" s="1"/>
      <c r="B32" s="65" t="s">
        <v>199</v>
      </c>
      <c r="C32" s="82">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CoKRtusAu0iYzTR4zjUZcXfiwZ483ome2K8IgiEMRLS1lEiAruwlOJ7UVa7eKspVBPWlxVUxvTcFSO1pzSlCA==" saltValue="xQKkG3rATN0Q7bjVHyBLGw=="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5" t="s">
        <v>164</v>
      </c>
      <c r="C9" s="22">
        <v>1.2115488115603113E-2</v>
      </c>
      <c r="D9" s="1"/>
    </row>
    <row r="10" spans="1:4" x14ac:dyDescent="0.25">
      <c r="A10" s="1"/>
      <c r="B10" s="33"/>
      <c r="C10" s="19"/>
      <c r="D10" s="1"/>
    </row>
    <row r="11" spans="1:4" x14ac:dyDescent="0.25">
      <c r="A11" s="1"/>
      <c r="B11" s="112" t="s">
        <v>218</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2kvFggAC09hoDpDqKF5ZEKJ1uglEPNitjBU+8Z4AlXK7pbQcsoGkqKq1DBIk8IQZCI3j9yAL5dl1U+bf+ai6Og==" saltValue="pFTH4ipm96dWzMHngtSazA=="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2024-05-06T07:45:39Z</cp:lastPrinted>
  <dcterms:created xsi:type="dcterms:W3CDTF">2016-06-02T08:51:18Z</dcterms:created>
  <dcterms:modified xsi:type="dcterms:W3CDTF">2024-08-16T10:55:08Z</dcterms:modified>
</cp:coreProperties>
</file>