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Ringkøbing-Skjern Vand AS (V15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4" i="32" l="1"/>
  <c r="E28" i="32" s="1"/>
  <c r="E30" i="32" s="1"/>
  <c r="C17" i="15" l="1"/>
  <c r="C29" i="2"/>
  <c r="F10" i="11"/>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<sst xmlns="http://schemas.openxmlformats.org/spreadsheetml/2006/main" count="513" uniqueCount="256">
  <si>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</si>
  <si>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</si>
  <si>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</si>
  <si>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</si>
  <si>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</si>
  <si>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</si>
  <si>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</si>
  <si>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</si>
  <si>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</si>
  <si>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</si>
  <si>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</si>
  <si>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</si>
  <si>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</si>
  <si>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</si>
  <si>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</si>
  <si>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</si>
  <si>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</si>
  <si>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</si>
  <si>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</si>
  <si>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</si>
  <si>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</si>
  <si>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</si>
  <si>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</si>
  <si>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</si>
  <si>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</si>
  <si>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</si>
  <si>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</si>
  <si>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</si>
  <si>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</si>
  <si>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</si>
  <si>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</si>
  <si>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</si>
  <si>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</si>
  <si>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</si>
  <si>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</si>
  <si>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</si>
  <si>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</si>
  <si>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</si>
  <si>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</si>
  <si>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</si>
  <si>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</si>
  <si>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</si>
  <si>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</si>
  <si>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</si>
  <si>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</si>
  <si>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</si>
  <si>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</si>
  <si>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</si>
  <si>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</si>
  <si>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</si>
  <si>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</si>
  <si>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</si>
  <si>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</si>
  <si>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</si>
  <si>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</si>
  <si>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</si>
  <si>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</si>
  <si>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</si>
  <si>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</si>
  <si>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</si>
  <si>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</si>
  <si>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</si>
  <si>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</si>
  <si>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</si>
  <si>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</si>
  <si>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</si>
  <si>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</si>
  <si>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</si>
  <si>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</si>
  <si>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</si>
  <si>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</si>
  <si>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</si>
  <si>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</si>
  <si>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</si>
  <si>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</si>
  <si>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</si>
  <si>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</si>
  <si>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</si>
  <si>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</si>
  <si>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</si>
  <si>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</si>
  <si>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</si>
  <si>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</si>
  <si>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</si>
  <si>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</si>
  <si>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</si>
  <si>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</si>
  <si>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</si>
  <si>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</si>
  <si>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</si>
  <si>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</si>
  <si>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</si>
  <si>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</si>
  <si>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</si>
  <si>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</si>
  <si>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</si>
  <si>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</si>
  <si>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</si>
  <si>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</si>
  <si>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</si>
  <si>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</si>
  <si>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</si>
  <si>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</si>
  <si>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</si>
  <si>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</si>
  <si>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</si>
  <si>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</si>
  <si>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</si>
  <si>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</si>
  <si>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</si>
  <si>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</si>
  <si>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</si>
  <si>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</si>
  <si>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</si>
  <si>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</si>
  <si>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</si>
  <si>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</si>
  <si>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</si>
  <si>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</si>
  <si>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</si>
  <si>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</si>
  <si>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</si>
  <si>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</si>
  <si>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</si>
  <si>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</si>
  <si>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</si>
  <si>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</si>
  <si>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</si>
  <si>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</si>
  <si>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</si>
  <si>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</si>
  <si>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</si>
  <si>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</si>
  <si>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</si>
  <si>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</si>
  <si>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</si>
  <si>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</si>
  <si>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</si>
  <si>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</si>
  <si>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</si>
  <si>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</si>
  <si>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</si>
  <si>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</si>
  <si>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</si>
  <si>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</si>
  <si>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</si>
  <si>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</si>
  <si>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</si>
  <si>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</si>
  <si>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</si>
  <si>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</si>
  <si>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</si>
  <si>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</si>
  <si>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</si>
  <si>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</si>
  <si>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</si>
  <si>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</si>
  <si>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</si>
  <si>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</si>
  <si>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</si>
  <si>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</si>
  <si>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</si>
  <si>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</si>
  <si>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</si>
  <si>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</si>
  <si>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</si>
  <si>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</si>
  <si>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</si>
  <si>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</si>
  <si>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</si>
  <si>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</si>
  <si>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</si>
  <si>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</si>
  <si>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</si>
  <si>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</si>
  <si>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</si>
  <si>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</si>
  <si>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</si>
  <si>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</si>
  <si>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</si>
  <si>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</si>
  <si>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</si>
  <si>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</si>
  <si>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</si>
  <si>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</si>
  <si>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</si>
  <si>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</si>
  <si>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</si>
  <si>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</si>
  <si>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</si>
  <si>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</si>
  <si>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</si>
  <si>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</si>
  <si>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</si>
  <si>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</si>
  <si>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</si>
  <si>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</si>
  <si>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</si>
  <si>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</si>
  <si>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</si>
  <si>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</si>
  <si>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</si>
  <si>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</si>
  <si>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</si>
  <si>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</si>
  <si>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</si>
  <si>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</si>
  <si>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</si>
  <si>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</si>
  <si>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</si>
  <si>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</si>
  <si>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</si>
  <si>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</si>
  <si>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</si>
  <si>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</si>
  <si>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</si>
  <si>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</si>
  <si>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</si>
  <si>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</si>
  <si>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</si>
  <si>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</si>
  <si>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</si>
  <si>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</si>
  <si>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</si>
  <si>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</si>
  <si>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</si>
  <si>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</si>
  <si>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</si>
  <si>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</si>
  <si>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</si>
  <si>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</si>
  <si>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</si>
  <si>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</si>
  <si>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Tilbagebetaling af sambeskatningsbidrag som følge af skattesagen</t>
  </si>
  <si>
    <t>Erstatninger</t>
  </si>
  <si>
    <t>Pålagte aftaler om dyrkningspraksis eller andre restriktioner i arealanvendelse</t>
  </si>
  <si>
    <t>Korrigeret over/underdækning i 2019</t>
  </si>
  <si>
    <t>Indregnet fradrag i den økonomiske ramme for 2023</t>
  </si>
  <si>
    <t>Indregnet fradrag i den økonomiske ramme for 2024</t>
  </si>
  <si>
    <t>Den økonomiske ramme for 2021</t>
  </si>
  <si>
    <t>Resultat af kontrol med overholdelse af den økonomiske rammer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</si>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</sst>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9" t="s">
        <v>193</v>
      </c>
      <c r="E8" s="89"/>
      <c r="F8" s="89"/>
      <c r="G8" s="8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1" t="s">
        <v>160</v>
      </c>
      <c r="E13" s="82"/>
      <c r="F13" s="82"/>
      <c r="G13" s="83"/>
      <c r="H13" s="1"/>
      <c r="I13" s="1"/>
    </row>
    <row r="14" spans="1:9" x14ac:dyDescent="0.25">
      <c r="A14" s="1"/>
      <c r="B14" s="1"/>
      <c r="C14" s="6" t="s">
        <v>14</v>
      </c>
      <c r="D14" s="81" t="s">
        <v>203</v>
      </c>
      <c r="E14" s="82"/>
      <c r="F14" s="82"/>
      <c r="G14" s="83"/>
      <c r="H14" s="1"/>
      <c r="I14" s="1"/>
    </row>
    <row r="15" spans="1:9" x14ac:dyDescent="0.25">
      <c r="A15" s="1"/>
      <c r="B15" s="1"/>
      <c r="C15" s="6" t="s">
        <v>32</v>
      </c>
      <c r="D15" s="81" t="s">
        <v>137</v>
      </c>
      <c r="E15" s="82"/>
      <c r="F15" s="82"/>
      <c r="G15" s="83"/>
      <c r="H15" s="1"/>
      <c r="I15" s="1"/>
    </row>
    <row r="16" spans="1:9" x14ac:dyDescent="0.25">
      <c r="A16" s="1"/>
      <c r="B16" s="1"/>
      <c r="C16" s="6" t="s">
        <v>33</v>
      </c>
      <c r="D16" s="81" t="s">
        <v>161</v>
      </c>
      <c r="E16" s="82"/>
      <c r="F16" s="82"/>
      <c r="G16" s="83"/>
      <c r="H16" s="1"/>
      <c r="I16" s="1"/>
    </row>
    <row r="17" spans="1:9" x14ac:dyDescent="0.25">
      <c r="A17" s="1"/>
      <c r="B17" s="1"/>
      <c r="C17" s="6" t="s">
        <v>110</v>
      </c>
      <c r="D17" s="81" t="s">
        <v>162</v>
      </c>
      <c r="E17" s="82"/>
      <c r="F17" s="82"/>
      <c r="G17" s="83"/>
      <c r="H17" s="1"/>
      <c r="I17" s="1"/>
    </row>
    <row r="18" spans="1:9" x14ac:dyDescent="0.25">
      <c r="A18" s="1"/>
      <c r="B18" s="1"/>
      <c r="C18" s="6" t="s">
        <v>94</v>
      </c>
      <c r="D18" s="90" t="s">
        <v>86</v>
      </c>
      <c r="E18" s="91"/>
      <c r="F18" s="91"/>
      <c r="G18" s="92"/>
      <c r="H18" s="1"/>
      <c r="I18" s="1"/>
    </row>
    <row r="19" spans="1:9" x14ac:dyDescent="0.25">
      <c r="A19" s="1"/>
      <c r="B19" s="1"/>
      <c r="C19" s="6" t="s">
        <v>95</v>
      </c>
      <c r="D19" s="90" t="s">
        <v>87</v>
      </c>
      <c r="E19" s="91"/>
      <c r="F19" s="91"/>
      <c r="G19" s="92"/>
      <c r="H19" s="1"/>
      <c r="I19" s="1"/>
    </row>
    <row r="20" spans="1:9" x14ac:dyDescent="0.25">
      <c r="A20" s="1"/>
      <c r="B20" s="1"/>
      <c r="C20" s="6" t="s">
        <v>7</v>
      </c>
      <c r="D20" s="90" t="s">
        <v>9</v>
      </c>
      <c r="E20" s="91"/>
      <c r="F20" s="91"/>
      <c r="G20" s="92"/>
      <c r="H20" s="1"/>
      <c r="I20" s="1"/>
    </row>
    <row r="21" spans="1:9" x14ac:dyDescent="0.25">
      <c r="A21" s="1"/>
      <c r="B21" s="1"/>
      <c r="C21" s="6" t="s">
        <v>96</v>
      </c>
      <c r="D21" s="96" t="s">
        <v>11</v>
      </c>
      <c r="E21" s="97"/>
      <c r="F21" s="97"/>
      <c r="G21" s="98"/>
      <c r="H21" s="1"/>
      <c r="I21" s="1"/>
    </row>
    <row r="22" spans="1:9" x14ac:dyDescent="0.25">
      <c r="A22" s="1"/>
      <c r="B22" s="1"/>
      <c r="C22" s="6" t="s">
        <v>78</v>
      </c>
      <c r="D22" s="85" t="s">
        <v>163</v>
      </c>
      <c r="E22" s="86"/>
      <c r="F22" s="86"/>
      <c r="G22" s="87"/>
      <c r="H22" s="1"/>
      <c r="I22" s="1"/>
    </row>
    <row r="23" spans="1:9" x14ac:dyDescent="0.25">
      <c r="A23" s="1"/>
      <c r="B23" s="1"/>
      <c r="C23" s="6" t="s">
        <v>8</v>
      </c>
      <c r="D23" s="85" t="s">
        <v>218</v>
      </c>
      <c r="E23" s="86"/>
      <c r="F23" s="86"/>
      <c r="G23" s="87"/>
      <c r="H23" s="1"/>
      <c r="I23" s="1"/>
    </row>
    <row r="24" spans="1:9" x14ac:dyDescent="0.25">
      <c r="A24" s="1"/>
      <c r="B24" s="1"/>
      <c r="C24" s="6" t="s">
        <v>214</v>
      </c>
      <c r="D24" s="85" t="s">
        <v>204</v>
      </c>
      <c r="E24" s="86"/>
      <c r="F24" s="86"/>
      <c r="G24" s="87"/>
      <c r="H24" s="1"/>
      <c r="I24" s="1"/>
    </row>
    <row r="25" spans="1:9" x14ac:dyDescent="0.25">
      <c r="A25" s="1"/>
      <c r="B25" s="1"/>
      <c r="C25" s="6" t="s">
        <v>215</v>
      </c>
      <c r="D25" s="85" t="s">
        <v>79</v>
      </c>
      <c r="E25" s="86"/>
      <c r="F25" s="86"/>
      <c r="G25" s="87"/>
      <c r="H25" s="1"/>
      <c r="I25" s="1"/>
    </row>
    <row r="26" spans="1:9" x14ac:dyDescent="0.25">
      <c r="A26" s="1"/>
      <c r="B26" s="1"/>
      <c r="C26" s="6" t="s">
        <v>216</v>
      </c>
      <c r="D26" s="85" t="s">
        <v>80</v>
      </c>
      <c r="E26" s="86"/>
      <c r="F26" s="86"/>
      <c r="G26" s="87"/>
      <c r="H26" s="1"/>
      <c r="I26" s="1"/>
    </row>
    <row r="27" spans="1:9" x14ac:dyDescent="0.25">
      <c r="A27" s="1"/>
      <c r="B27" s="1"/>
      <c r="C27" s="6" t="s">
        <v>97</v>
      </c>
      <c r="D27" s="85" t="s">
        <v>111</v>
      </c>
      <c r="E27" s="86"/>
      <c r="F27" s="86"/>
      <c r="G27" s="87"/>
      <c r="H27" s="1"/>
      <c r="I27" s="1"/>
    </row>
    <row r="28" spans="1:9" x14ac:dyDescent="0.25">
      <c r="A28" s="1"/>
      <c r="B28" s="1"/>
      <c r="C28" s="6" t="s">
        <v>91</v>
      </c>
      <c r="D28" s="85" t="s">
        <v>34</v>
      </c>
      <c r="E28" s="86"/>
      <c r="F28" s="86"/>
      <c r="G28" s="87"/>
      <c r="H28" s="1"/>
      <c r="I28" s="1"/>
    </row>
    <row r="29" spans="1:9" x14ac:dyDescent="0.25">
      <c r="A29" s="1"/>
      <c r="B29" s="1"/>
      <c r="C29" s="6" t="s">
        <v>217</v>
      </c>
      <c r="D29" s="93" t="s">
        <v>92</v>
      </c>
      <c r="E29" s="94"/>
      <c r="F29" s="94"/>
      <c r="G29" s="9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ZybfJfsq4BAUmHIAzEK3S7P9+afAsQeQVRx6tO3990ZGF4BYSgcg5zv4vs8HvdARitIuGywkIAKA8PyE0IyCKA==" saltValue="6W0n2tcqNaQA8S7J+/BKn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180</v>
      </c>
      <c r="C8" s="119"/>
      <c r="D8" s="120"/>
      <c r="E8" s="1"/>
      <c r="F8" s="1"/>
    </row>
    <row r="9" spans="1:6" ht="15" customHeight="1" x14ac:dyDescent="0.25">
      <c r="A9" s="1"/>
      <c r="B9" s="32" t="s">
        <v>30</v>
      </c>
      <c r="C9" s="11" t="s">
        <v>211</v>
      </c>
      <c r="D9" s="11"/>
      <c r="E9" s="1"/>
      <c r="F9" s="1"/>
    </row>
    <row r="10" spans="1:6" x14ac:dyDescent="0.25">
      <c r="A10" s="1"/>
      <c r="B10" s="75" t="s">
        <v>230</v>
      </c>
      <c r="C10" s="9">
        <v>22908037</v>
      </c>
      <c r="D10" s="14" t="s">
        <v>3</v>
      </c>
      <c r="E10" s="1"/>
      <c r="F10" s="1"/>
    </row>
    <row r="11" spans="1:6" x14ac:dyDescent="0.25">
      <c r="A11" s="1"/>
      <c r="B11" s="75" t="s">
        <v>231</v>
      </c>
      <c r="C11" s="9">
        <v>151574</v>
      </c>
      <c r="D11" s="14" t="s">
        <v>3</v>
      </c>
      <c r="E11" s="1"/>
      <c r="F11" s="1"/>
    </row>
    <row r="12" spans="1:6" x14ac:dyDescent="0.25">
      <c r="A12" s="1"/>
      <c r="B12" s="75" t="s">
        <v>232</v>
      </c>
      <c r="C12" s="9">
        <v>66478</v>
      </c>
      <c r="D12" s="14" t="s">
        <v>3</v>
      </c>
      <c r="E12" s="1"/>
      <c r="F12" s="1"/>
    </row>
    <row r="13" spans="1:6" ht="26.25" x14ac:dyDescent="0.25">
      <c r="A13" s="1"/>
      <c r="B13" s="80" t="s">
        <v>233</v>
      </c>
      <c r="C13" s="9">
        <v>4288962.666666667</v>
      </c>
      <c r="D13" s="14" t="s">
        <v>3</v>
      </c>
      <c r="E13" s="1"/>
      <c r="F13" s="1"/>
    </row>
    <row r="14" spans="1:6" x14ac:dyDescent="0.25">
      <c r="A14" s="1"/>
      <c r="B14" s="75" t="s">
        <v>234</v>
      </c>
      <c r="C14" s="9">
        <v>380685.18518518517</v>
      </c>
      <c r="D14" s="14" t="s">
        <v>3</v>
      </c>
      <c r="E14" s="1"/>
      <c r="F14" s="1"/>
    </row>
    <row r="15" spans="1:6" ht="26.25" x14ac:dyDescent="0.25">
      <c r="A15" s="1"/>
      <c r="B15" s="80" t="s">
        <v>235</v>
      </c>
      <c r="C15" s="9">
        <v>3099414.8148148148</v>
      </c>
      <c r="D15" s="14" t="s">
        <v>3</v>
      </c>
      <c r="E15" s="1"/>
      <c r="F15" s="1"/>
    </row>
    <row r="16" spans="1:6" x14ac:dyDescent="0.25">
      <c r="A16" s="1"/>
      <c r="B16" s="63" t="s">
        <v>181</v>
      </c>
      <c r="C16" s="12">
        <f>SUM(C10:C15)</f>
        <v>30895151.666666668</v>
      </c>
      <c r="D16" s="13" t="s">
        <v>3</v>
      </c>
      <c r="E16" s="1"/>
      <c r="F16" s="1"/>
    </row>
    <row r="17" spans="1:6" x14ac:dyDescent="0.25">
      <c r="A17" s="1"/>
      <c r="B17" s="63" t="s">
        <v>182</v>
      </c>
      <c r="C17" s="12">
        <f>C16*(1+'Fane 13. Nøgletal'!C15)^2</f>
        <v>33134041.744749606</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bwVy4oCH5p/8BDq8mXwPS5dLyJPZKjYq6qRGZUr5W+JUfi7JsFPFOnS+pg++nCbgBOxSzlHZebSpChgF5HvsQg==" saltValue="Bv8FnbyqgLjTQGjfyxpa8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1"/>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183</v>
      </c>
      <c r="C3" s="121"/>
      <c r="D3" s="121"/>
      <c r="E3" s="121"/>
      <c r="F3" s="121"/>
      <c r="G3" s="1"/>
    </row>
    <row r="4" spans="1:7" ht="15" customHeight="1" x14ac:dyDescent="0.25">
      <c r="A4" s="1"/>
      <c r="B4" s="121"/>
      <c r="C4" s="121"/>
      <c r="D4" s="121"/>
      <c r="E4" s="121"/>
      <c r="F4" s="121"/>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8" t="s">
        <v>155</v>
      </c>
      <c r="C8" s="119"/>
      <c r="D8" s="119"/>
      <c r="E8" s="119"/>
      <c r="F8" s="120"/>
      <c r="G8" s="1"/>
    </row>
    <row r="9" spans="1:7" x14ac:dyDescent="0.25">
      <c r="A9" s="1"/>
      <c r="B9" s="125" t="s">
        <v>156</v>
      </c>
      <c r="C9" s="126"/>
      <c r="D9" s="127"/>
      <c r="E9" s="9">
        <v>-3216101</v>
      </c>
      <c r="F9" s="14" t="s">
        <v>3</v>
      </c>
      <c r="G9" s="1"/>
    </row>
    <row r="10" spans="1:7" x14ac:dyDescent="0.25">
      <c r="A10" s="1"/>
      <c r="B10" s="140" t="s">
        <v>236</v>
      </c>
      <c r="C10" s="141"/>
      <c r="D10" s="142"/>
      <c r="E10" s="9">
        <v>-3216101</v>
      </c>
      <c r="F10" s="50" t="s">
        <v>3</v>
      </c>
      <c r="G10" s="1"/>
    </row>
    <row r="11" spans="1:7" x14ac:dyDescent="0.25">
      <c r="A11" s="1"/>
      <c r="B11" s="125" t="s">
        <v>184</v>
      </c>
      <c r="C11" s="126"/>
      <c r="D11" s="127"/>
      <c r="E11" s="9">
        <v>918387.24131906033</v>
      </c>
      <c r="F11" s="14" t="s">
        <v>3</v>
      </c>
      <c r="G11" s="1"/>
    </row>
    <row r="12" spans="1:7" x14ac:dyDescent="0.25">
      <c r="A12" s="1"/>
      <c r="B12" s="63"/>
      <c r="C12" s="64"/>
      <c r="D12" s="64"/>
      <c r="E12" s="64"/>
      <c r="F12" s="19"/>
      <c r="G12" s="1"/>
    </row>
    <row r="13" spans="1:7" ht="64.900000000000006" customHeight="1" x14ac:dyDescent="0.25">
      <c r="A13" s="1"/>
      <c r="B13" s="101" t="s">
        <v>254</v>
      </c>
      <c r="C13" s="102"/>
      <c r="D13" s="102"/>
      <c r="E13" s="102"/>
      <c r="F13" s="103"/>
      <c r="G13" s="1"/>
    </row>
    <row r="14" spans="1:7" ht="27" customHeight="1" x14ac:dyDescent="0.25">
      <c r="A14" s="1"/>
      <c r="B14" s="1"/>
      <c r="C14" s="1"/>
      <c r="D14" s="1"/>
      <c r="E14" s="1"/>
      <c r="F14" s="1"/>
      <c r="G14" s="1"/>
    </row>
    <row r="15" spans="1:7" ht="28.5" customHeight="1" x14ac:dyDescent="0.25">
      <c r="A15" s="1"/>
      <c r="B15" s="118" t="s">
        <v>157</v>
      </c>
      <c r="C15" s="119"/>
      <c r="D15" s="119"/>
      <c r="E15" s="119"/>
      <c r="F15" s="120"/>
      <c r="G15" s="1"/>
    </row>
    <row r="16" spans="1:7" x14ac:dyDescent="0.25">
      <c r="A16" s="1"/>
      <c r="B16" s="125" t="s">
        <v>237</v>
      </c>
      <c r="C16" s="126"/>
      <c r="D16" s="127"/>
      <c r="E16" s="52">
        <v>0</v>
      </c>
      <c r="F16" s="14" t="s">
        <v>3</v>
      </c>
      <c r="G16" s="1"/>
    </row>
    <row r="17" spans="1:7" x14ac:dyDescent="0.25">
      <c r="A17" s="1"/>
      <c r="B17" s="125" t="s">
        <v>238</v>
      </c>
      <c r="C17" s="126"/>
      <c r="D17" s="127"/>
      <c r="E17" s="52">
        <v>0</v>
      </c>
      <c r="F17" s="14" t="s">
        <v>3</v>
      </c>
      <c r="G17" s="1"/>
    </row>
    <row r="18" spans="1:7" x14ac:dyDescent="0.25">
      <c r="A18" s="1"/>
      <c r="B18" s="63"/>
      <c r="C18" s="64"/>
      <c r="D18" s="64"/>
      <c r="E18" s="64"/>
      <c r="F18" s="19"/>
      <c r="G18" s="1"/>
    </row>
    <row r="19" spans="1:7" ht="28.5" customHeight="1" x14ac:dyDescent="0.25">
      <c r="A19" s="1"/>
      <c r="B19" s="1"/>
      <c r="C19" s="1"/>
      <c r="D19" s="1"/>
      <c r="E19" s="1"/>
      <c r="F19" s="1"/>
      <c r="G19" s="1"/>
    </row>
    <row r="20" spans="1:7" ht="28.5" customHeight="1" x14ac:dyDescent="0.25">
      <c r="A20" s="1"/>
      <c r="B20" s="67" t="s">
        <v>185</v>
      </c>
      <c r="C20" s="68"/>
      <c r="D20" s="68"/>
      <c r="E20" s="68"/>
      <c r="F20" s="69"/>
      <c r="G20" s="1"/>
    </row>
    <row r="21" spans="1:7" x14ac:dyDescent="0.25">
      <c r="A21" s="1"/>
      <c r="B21" s="72" t="s">
        <v>239</v>
      </c>
      <c r="C21" s="73"/>
      <c r="D21" s="74"/>
      <c r="E21" s="9">
        <v>71112394.010861352</v>
      </c>
      <c r="F21" s="14" t="s">
        <v>3</v>
      </c>
      <c r="G21" s="1"/>
    </row>
    <row r="22" spans="1:7" x14ac:dyDescent="0.25">
      <c r="A22" s="1"/>
      <c r="B22" s="72" t="s">
        <v>186</v>
      </c>
      <c r="C22" s="73"/>
      <c r="D22" s="74"/>
      <c r="E22" s="9">
        <v>69399732</v>
      </c>
      <c r="F22" s="14" t="s">
        <v>3</v>
      </c>
      <c r="G22" s="1"/>
    </row>
    <row r="23" spans="1:7" x14ac:dyDescent="0.25">
      <c r="A23" s="1"/>
      <c r="B23" s="72" t="s">
        <v>31</v>
      </c>
      <c r="C23" s="73"/>
      <c r="D23" s="74"/>
      <c r="E23" s="9">
        <v>0</v>
      </c>
      <c r="F23" s="14" t="s">
        <v>3</v>
      </c>
      <c r="G23" s="1"/>
    </row>
    <row r="24" spans="1:7" x14ac:dyDescent="0.25">
      <c r="A24" s="1"/>
      <c r="B24" s="47" t="s">
        <v>240</v>
      </c>
      <c r="C24" s="48"/>
      <c r="D24" s="49"/>
      <c r="E24" s="53">
        <f>E21-(E22-E23)</f>
        <v>1712662.0108613521</v>
      </c>
      <c r="F24" s="17" t="s">
        <v>3</v>
      </c>
      <c r="G24" s="1"/>
    </row>
    <row r="25" spans="1:7" x14ac:dyDescent="0.25">
      <c r="A25" s="1"/>
      <c r="B25" s="63" t="s">
        <v>255</v>
      </c>
      <c r="C25" s="64"/>
      <c r="D25" s="64"/>
      <c r="E25" s="64"/>
      <c r="F25" s="19"/>
      <c r="G25" s="1"/>
    </row>
    <row r="26" spans="1:7" x14ac:dyDescent="0.25">
      <c r="A26" s="1"/>
      <c r="B26" s="1"/>
      <c r="C26" s="1"/>
      <c r="D26" s="1"/>
      <c r="E26" s="1"/>
      <c r="F26" s="1"/>
      <c r="G26" s="1"/>
    </row>
    <row r="27" spans="1:7" ht="28.5" customHeight="1" x14ac:dyDescent="0.25">
      <c r="A27" s="1"/>
      <c r="B27" s="118" t="s">
        <v>241</v>
      </c>
      <c r="C27" s="119"/>
      <c r="D27" s="119"/>
      <c r="E27" s="119"/>
      <c r="F27" s="120"/>
      <c r="G27" s="1"/>
    </row>
    <row r="28" spans="1:7" x14ac:dyDescent="0.25">
      <c r="A28" s="1"/>
      <c r="B28" s="143" t="s">
        <v>128</v>
      </c>
      <c r="C28" s="144"/>
      <c r="D28" s="145"/>
      <c r="E28" s="9">
        <f>IF(AND(E11&gt;0,E24&gt;0),0,IF(AND(E11&lt;0,E24&lt;0),E16+E17+E24,IF(AND(E11&lt;0,E24&gt;0),E16+E17,IF(AND(E9&gt;0,E11&gt;0,E24&lt;0,ABS(E11)&gt;ABS(E24)),0,IF(AND(E9&gt;0,E11&gt;0,E24&lt;0,ABS(E11)&lt;ABS(E24)),(ABS(E11)-ABS(E24)),IF(AND(E9&lt;0,E11&gt;0,E24&lt;0,ABS(E10)&gt;ABS(E11)),E24,IF(AND(E9&lt;0,E11&gt;0,E24&lt;0,ABS(E10)&lt;ABS(E11),ABS(SUM(E10,E11))&gt;ABS(E24)),0,IF(AND(E9&lt;0,E11&gt;0,E24&lt;0,ABS(E10)&lt;ABS(E11),ABS(SUM(E10,E11))&lt;ABS(E24)),(ABS(SUM(E10,E11))-ABS(E24)),"fejl"))))))))</f>
        <v>0</v>
      </c>
      <c r="F28" s="14" t="s">
        <v>3</v>
      </c>
      <c r="G28" s="1"/>
    </row>
    <row r="29" spans="1:7" x14ac:dyDescent="0.25">
      <c r="A29" s="1"/>
      <c r="B29" s="143" t="s">
        <v>93</v>
      </c>
      <c r="C29" s="144"/>
      <c r="D29" s="145"/>
      <c r="E29" s="9">
        <v>2</v>
      </c>
      <c r="F29" s="14" t="s">
        <v>18</v>
      </c>
      <c r="G29" s="1"/>
    </row>
    <row r="30" spans="1:7" x14ac:dyDescent="0.25">
      <c r="A30" s="1"/>
      <c r="B30" s="136" t="s">
        <v>127</v>
      </c>
      <c r="C30" s="136"/>
      <c r="D30" s="136"/>
      <c r="E30" s="10">
        <f>E28/E29</f>
        <v>0</v>
      </c>
      <c r="F30" s="17" t="s">
        <v>3</v>
      </c>
      <c r="G30" s="1"/>
    </row>
    <row r="31" spans="1:7" x14ac:dyDescent="0.25">
      <c r="A31" s="1"/>
      <c r="B31" s="137"/>
      <c r="C31" s="138"/>
      <c r="D31" s="138"/>
      <c r="E31" s="138"/>
      <c r="F31" s="1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51"/>
      <c r="C37" s="51"/>
      <c r="D37" s="51"/>
      <c r="E37" s="51"/>
      <c r="F37" s="51"/>
    </row>
    <row r="38" spans="1:7" x14ac:dyDescent="0.25">
      <c r="A38" s="51"/>
      <c r="B38" s="51"/>
      <c r="C38" s="51"/>
      <c r="D38" s="51"/>
      <c r="E38" s="51"/>
      <c r="F38" s="51"/>
      <c r="G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sheetData>
  <sheetProtection algorithmName="SHA-512" hashValue="FcdPqpgOefmVojP/dSIMnDQYxLoe9VxjS3ULtwm3qeiTn1bS7TAxUC5j+PP2AcwGMQutXw4SLnHbwEDuCRJrKw==" saltValue="ieSfHy/lMrfdZzShMhvt9g==" spinCount="100000" sheet="1" objects="1" scenarios="1"/>
  <mergeCells count="14">
    <mergeCell ref="B3:F4"/>
    <mergeCell ref="B17:D17"/>
    <mergeCell ref="B9:D9"/>
    <mergeCell ref="B13:F13"/>
    <mergeCell ref="B15:F15"/>
    <mergeCell ref="B16:D16"/>
    <mergeCell ref="B30:D30"/>
    <mergeCell ref="B31:F31"/>
    <mergeCell ref="B8:F8"/>
    <mergeCell ref="B10:D10"/>
    <mergeCell ref="B11:D11"/>
    <mergeCell ref="B29:D29"/>
    <mergeCell ref="B27:F27"/>
    <mergeCell ref="B28:D28"/>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225</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226</v>
      </c>
      <c r="C8" s="119"/>
      <c r="D8" s="119"/>
      <c r="E8" s="119"/>
      <c r="F8" s="119"/>
      <c r="G8" s="119"/>
      <c r="H8" s="120"/>
      <c r="I8" s="1"/>
    </row>
    <row r="9" spans="1:9" ht="15" customHeight="1" x14ac:dyDescent="0.25">
      <c r="A9" s="1"/>
      <c r="B9" s="110" t="s">
        <v>227</v>
      </c>
      <c r="C9" s="111"/>
      <c r="D9" s="111"/>
      <c r="E9" s="111"/>
      <c r="F9" s="111"/>
      <c r="G9" s="111"/>
      <c r="H9" s="112"/>
      <c r="I9" s="1"/>
    </row>
    <row r="10" spans="1:9" x14ac:dyDescent="0.25">
      <c r="A10" s="1"/>
      <c r="B10" s="146" t="s">
        <v>246</v>
      </c>
      <c r="C10" s="147"/>
      <c r="D10" s="147"/>
      <c r="E10" s="147"/>
      <c r="F10" s="148"/>
      <c r="G10" s="52">
        <v>0</v>
      </c>
      <c r="H10" s="9" t="s">
        <v>3</v>
      </c>
      <c r="I10" s="1"/>
    </row>
    <row r="11" spans="1:9" x14ac:dyDescent="0.25">
      <c r="A11" s="1"/>
      <c r="B11" s="146" t="s">
        <v>247</v>
      </c>
      <c r="C11" s="147"/>
      <c r="D11" s="147"/>
      <c r="E11" s="147"/>
      <c r="F11" s="148"/>
      <c r="G11" s="52">
        <v>0</v>
      </c>
      <c r="H11" s="9" t="s">
        <v>3</v>
      </c>
      <c r="I11" s="1"/>
    </row>
    <row r="12" spans="1:9" x14ac:dyDescent="0.25">
      <c r="A12" s="1"/>
      <c r="B12" s="146" t="s">
        <v>248</v>
      </c>
      <c r="C12" s="147"/>
      <c r="D12" s="147"/>
      <c r="E12" s="147"/>
      <c r="F12" s="148"/>
      <c r="G12" s="9">
        <v>0</v>
      </c>
      <c r="H12" s="9" t="s">
        <v>3</v>
      </c>
      <c r="I12" s="1"/>
    </row>
    <row r="13" spans="1:9" x14ac:dyDescent="0.25">
      <c r="A13" s="1"/>
      <c r="B13" s="146" t="s">
        <v>249</v>
      </c>
      <c r="C13" s="147"/>
      <c r="D13" s="147"/>
      <c r="E13" s="147"/>
      <c r="F13" s="148"/>
      <c r="G13" s="9">
        <v>0</v>
      </c>
      <c r="H13" s="9" t="s">
        <v>3</v>
      </c>
      <c r="I13" s="1"/>
    </row>
    <row r="14" spans="1:9" x14ac:dyDescent="0.25">
      <c r="A14" s="1"/>
      <c r="B14" s="146" t="s">
        <v>250</v>
      </c>
      <c r="C14" s="147"/>
      <c r="D14" s="147"/>
      <c r="E14" s="147"/>
      <c r="F14" s="148"/>
      <c r="G14" s="9">
        <v>0</v>
      </c>
      <c r="H14" s="9" t="s">
        <v>3</v>
      </c>
      <c r="I14" s="1"/>
    </row>
    <row r="15" spans="1:9" x14ac:dyDescent="0.25">
      <c r="A15" s="1"/>
      <c r="B15" s="146" t="s">
        <v>251</v>
      </c>
      <c r="C15" s="147"/>
      <c r="D15" s="147"/>
      <c r="E15" s="147"/>
      <c r="F15" s="148"/>
      <c r="G15" s="9">
        <v>0</v>
      </c>
      <c r="H15" s="9" t="s">
        <v>3</v>
      </c>
      <c r="I15" s="1"/>
    </row>
    <row r="16" spans="1:9" x14ac:dyDescent="0.25">
      <c r="A16" s="1"/>
      <c r="B16" s="146" t="s">
        <v>252</v>
      </c>
      <c r="C16" s="147"/>
      <c r="D16" s="147"/>
      <c r="E16" s="147"/>
      <c r="F16" s="148"/>
      <c r="G16" s="9">
        <v>0</v>
      </c>
      <c r="H16" s="9" t="s">
        <v>3</v>
      </c>
      <c r="I16" s="1"/>
    </row>
    <row r="17" spans="1:9" x14ac:dyDescent="0.25">
      <c r="A17" s="1"/>
      <c r="B17" s="146" t="s">
        <v>253</v>
      </c>
      <c r="C17" s="147"/>
      <c r="D17" s="147"/>
      <c r="E17" s="147"/>
      <c r="F17" s="148"/>
      <c r="G17" s="9">
        <v>0</v>
      </c>
      <c r="H17" s="9" t="s">
        <v>3</v>
      </c>
      <c r="I17" s="1"/>
    </row>
    <row r="18" spans="1:9" x14ac:dyDescent="0.25">
      <c r="A18" s="1"/>
      <c r="B18" s="118" t="s">
        <v>228</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CcNOZmCGxBHqTaj6LuuO7/BfFiZesEF9Lf3vBoLPnoFJs/8sOI+SnF7KpF1eBRGakjUyGNPwuBJ0QT1LRCqM5g==" saltValue="22fEKRsUETX2+OqFaT6mx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showWhiteSpace="0" view="pageLayout" zoomScaleNormal="100" workbookViewId="0"/>
  </sheetViews>
  <sheetFormatPr defaultColWidth="9" defaultRowHeight="15" x14ac:dyDescent="0.25"/>
  <cols>
    <col min="1" max="1" width="3.85546875" style="2" customWidth="1"/>
    <col min="2" max="2" width="24" style="2" customWidth="1"/>
    <col min="3" max="3" width="7.28515625" style="2" customWidth="1"/>
    <col min="4" max="4" width="8.5703125" style="2" customWidth="1"/>
    <col min="5" max="5" width="2.7109375" style="2" customWidth="1"/>
    <col min="6" max="6" width="8.5703125" style="2" customWidth="1"/>
    <col min="7" max="7" width="2.7109375" style="2" customWidth="1"/>
    <col min="8" max="8" width="8.5703125" style="2" customWidth="1"/>
    <col min="9" max="9" width="2.7109375" style="2" customWidth="1"/>
    <col min="10" max="10" width="8.5703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219</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191</v>
      </c>
      <c r="C8" s="119"/>
      <c r="D8" s="119"/>
      <c r="E8" s="119"/>
      <c r="F8" s="119"/>
      <c r="G8" s="119"/>
      <c r="H8" s="119"/>
      <c r="I8" s="119"/>
      <c r="J8" s="119"/>
      <c r="K8" s="120"/>
      <c r="L8" s="1"/>
    </row>
    <row r="9" spans="1:12" ht="39.75" customHeight="1" x14ac:dyDescent="0.25">
      <c r="A9" s="1"/>
      <c r="B9" s="18" t="s">
        <v>0</v>
      </c>
      <c r="C9" s="18" t="s">
        <v>1</v>
      </c>
      <c r="D9" s="149" t="s">
        <v>212</v>
      </c>
      <c r="E9" s="150"/>
      <c r="F9" s="149" t="s">
        <v>2</v>
      </c>
      <c r="G9" s="150"/>
      <c r="H9" s="149" t="s">
        <v>213</v>
      </c>
      <c r="I9" s="150"/>
      <c r="J9" s="149" t="s">
        <v>28</v>
      </c>
      <c r="K9" s="150"/>
      <c r="L9" s="1"/>
    </row>
    <row r="10" spans="1:12" x14ac:dyDescent="0.25">
      <c r="A10" s="1"/>
      <c r="B10" s="77" t="s">
        <v>229</v>
      </c>
      <c r="C10" s="29">
        <v>0</v>
      </c>
      <c r="D10" s="9">
        <v>0</v>
      </c>
      <c r="E10" s="14" t="s">
        <v>3</v>
      </c>
      <c r="F10" s="35">
        <f>IFERROR(D10/C10,0)</f>
        <v>0</v>
      </c>
      <c r="G10" s="14" t="s">
        <v>3</v>
      </c>
      <c r="H10" s="9">
        <v>0</v>
      </c>
      <c r="I10" s="14" t="s">
        <v>3</v>
      </c>
      <c r="J10" s="9">
        <v>0</v>
      </c>
      <c r="K10" s="14" t="s">
        <v>3</v>
      </c>
      <c r="L10" s="1"/>
    </row>
    <row r="11" spans="1:12" x14ac:dyDescent="0.25">
      <c r="A11" s="1"/>
      <c r="B11" s="63" t="s">
        <v>192</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zyKcrxHtglef6Rwj17mg0D0e9Jc3Cx3Mg1GuvOIDEZ6++F0SclLK4ay+Xhsuqmvf9o+khrJiAAIw48QqkmMJvA==" saltValue="tr0cRvvRpzhGwg+1Q6YC5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220</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202</v>
      </c>
      <c r="C10" s="21">
        <f>'Fane 9. Anlægsprojekter (§ 19) '!H11</f>
        <v>0</v>
      </c>
      <c r="D10" s="14" t="s">
        <v>3</v>
      </c>
      <c r="E10" s="9">
        <f>'Fane 9. Anlægsprojekter (§ 19) '!F11+'Fane 9. Anlægsprojekter (§ 19) '!J11</f>
        <v>0</v>
      </c>
      <c r="F10" s="14" t="s">
        <v>3</v>
      </c>
      <c r="G10" s="1"/>
    </row>
    <row r="11" spans="1:7" x14ac:dyDescent="0.25">
      <c r="A11" s="1"/>
      <c r="B11" s="26" t="s">
        <v>242</v>
      </c>
      <c r="C11" s="21">
        <v>0</v>
      </c>
      <c r="D11" s="14" t="s">
        <v>3</v>
      </c>
      <c r="E11" s="9">
        <v>0</v>
      </c>
      <c r="F11" s="14" t="s">
        <v>3</v>
      </c>
      <c r="G11" s="1"/>
    </row>
    <row r="12" spans="1:7" x14ac:dyDescent="0.25">
      <c r="A12" s="1"/>
      <c r="B12" s="63" t="s">
        <v>148</v>
      </c>
      <c r="C12" s="12">
        <f>SUM(C10:C11)</f>
        <v>0</v>
      </c>
      <c r="D12" s="13" t="s">
        <v>3</v>
      </c>
      <c r="E12" s="12">
        <f>SUM(E10:E11)</f>
        <v>0</v>
      </c>
      <c r="F12" s="13" t="s">
        <v>3</v>
      </c>
      <c r="G12" s="1"/>
    </row>
    <row r="13" spans="1:7" x14ac:dyDescent="0.25">
      <c r="A13" s="1"/>
      <c r="B13" s="63" t="s">
        <v>187</v>
      </c>
      <c r="C13" s="12">
        <f>C12*(1+'Fane 13. Nøgletal'!C15)</f>
        <v>0</v>
      </c>
      <c r="D13" s="13" t="s">
        <v>3</v>
      </c>
      <c r="E13" s="12">
        <f>E12*(1+'Fane 13. Nøgletal'!C15)</f>
        <v>0</v>
      </c>
      <c r="F13" s="13" t="s">
        <v>3</v>
      </c>
      <c r="G13" s="1"/>
    </row>
    <row r="14" spans="1:7" x14ac:dyDescent="0.25">
      <c r="A14" s="1"/>
      <c r="B14" s="1"/>
      <c r="C14" s="1" t="s">
        <v>209</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ROe3+mx5l2bDTkzPVzizZshG5gNVmeQjWwnQrJ90/SkIvR4BY4GSQfPF54z4RjuIx6L/lq+jCbNCbu97JqGnA==" saltValue="KuspY1mUYEbMJgw6hJLc6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88</v>
      </c>
      <c r="C9" s="119"/>
      <c r="D9" s="119"/>
      <c r="E9" s="119"/>
      <c r="F9" s="120"/>
      <c r="G9" s="1"/>
    </row>
    <row r="10" spans="1:7" ht="26.25" x14ac:dyDescent="0.25">
      <c r="A10" s="1"/>
      <c r="B10" s="61" t="s">
        <v>15</v>
      </c>
      <c r="C10" s="61" t="s">
        <v>10</v>
      </c>
      <c r="D10" s="62"/>
      <c r="E10" s="61" t="s">
        <v>29</v>
      </c>
      <c r="F10" s="66"/>
      <c r="G10" s="1"/>
    </row>
    <row r="11" spans="1:7" x14ac:dyDescent="0.25">
      <c r="A11" s="1"/>
      <c r="B11" s="22" t="s">
        <v>243</v>
      </c>
      <c r="C11" s="21">
        <v>0</v>
      </c>
      <c r="D11" s="14" t="s">
        <v>3</v>
      </c>
      <c r="E11" s="9">
        <v>0</v>
      </c>
      <c r="F11" s="14" t="s">
        <v>3</v>
      </c>
      <c r="G11" s="1"/>
    </row>
    <row r="12" spans="1:7" x14ac:dyDescent="0.25">
      <c r="A12" s="1"/>
      <c r="B12" s="63" t="s">
        <v>194</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UydbXflgDFeFGLBBuDAxQctwBBkPFy3Xj93fC2kqIeeAZBYGcawCx6OBz4V5LCoWO/EZ7ohULQpX9OzsVECp1w==" saltValue="Nv//vkvKl4cDgABmOUUNZ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222</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65" t="s">
        <v>113</v>
      </c>
      <c r="C9" s="110" t="s">
        <v>10</v>
      </c>
      <c r="D9" s="112"/>
      <c r="E9" s="110" t="s">
        <v>29</v>
      </c>
      <c r="F9" s="112"/>
      <c r="G9" s="1"/>
    </row>
    <row r="10" spans="1:7" x14ac:dyDescent="0.25">
      <c r="A10" s="1"/>
      <c r="B10" s="22" t="s">
        <v>244</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188</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lWv0S66tL2mlqeOZh0QXQuJgOIO3GE8hmEwAYcvBwJhQ7yp6W+pkzUgpn/996fAkedvhXkLkPaun4O4IVkYbg==" saltValue="4drJl0YPwPjig2KaOK0jK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223</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8" t="s">
        <v>85</v>
      </c>
      <c r="C10" s="119"/>
      <c r="D10" s="119"/>
      <c r="E10" s="119"/>
      <c r="F10" s="120"/>
      <c r="G10" s="1"/>
    </row>
    <row r="11" spans="1:7" ht="26.25" x14ac:dyDescent="0.25">
      <c r="A11" s="1"/>
      <c r="B11" s="65" t="s">
        <v>16</v>
      </c>
      <c r="C11" s="65" t="s">
        <v>10</v>
      </c>
      <c r="D11" s="66"/>
      <c r="E11" s="65" t="s">
        <v>29</v>
      </c>
      <c r="F11" s="66"/>
      <c r="G11" s="1"/>
    </row>
    <row r="12" spans="1:7" x14ac:dyDescent="0.25">
      <c r="A12" s="1"/>
      <c r="B12" s="22" t="s">
        <v>245</v>
      </c>
      <c r="C12" s="9">
        <v>0</v>
      </c>
      <c r="D12" s="14" t="s">
        <v>3</v>
      </c>
      <c r="E12" s="9">
        <v>0</v>
      </c>
      <c r="F12" s="14" t="s">
        <v>3</v>
      </c>
      <c r="G12" s="1"/>
    </row>
    <row r="13" spans="1:7" x14ac:dyDescent="0.25">
      <c r="A13" s="1"/>
      <c r="B13" s="63" t="s">
        <v>195</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vdEvv6WFTJMV7BkCyfywKi6U9c9lrpFt/rGYzIzxON/wakhO8lArP40YXJpD7mHWS1irKKqC0DcuCVKukJ6Zg==" saltValue="vLRCl5gW7DZ6Texma5FFz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1" t="s">
        <v>224</v>
      </c>
      <c r="C3" s="121"/>
      <c r="D3" s="1"/>
    </row>
    <row r="4" spans="1:4" ht="25.5" customHeight="1" x14ac:dyDescent="0.25">
      <c r="A4" s="1"/>
      <c r="B4" s="121"/>
      <c r="C4" s="121"/>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189</v>
      </c>
      <c r="C15" s="44">
        <v>3.56E-2</v>
      </c>
      <c r="D15" s="1"/>
    </row>
    <row r="16" spans="1:4" x14ac:dyDescent="0.25">
      <c r="A16" s="1"/>
      <c r="B16" s="118"/>
      <c r="C16" s="120"/>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190</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qIorVFJbooQVrXad6Tv3Vp/nJVwJg0w0zkDLip3TR5cyUtkVu+ZifZo5AO0n1hKcaMvNYBXeUdNBAoXY1UOVEw==" saltValue="3Y3Rnyty9h7MZ5yVfOt1i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164</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43975669.127628781</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1565533.8209435847</v>
      </c>
      <c r="D15" s="8" t="s">
        <v>3</v>
      </c>
      <c r="E15" s="1"/>
    </row>
    <row r="16" spans="1:5" ht="17.25" customHeight="1" x14ac:dyDescent="0.25">
      <c r="A16" s="1"/>
      <c r="B16" s="23" t="s">
        <v>9</v>
      </c>
      <c r="C16" s="9">
        <f>-SUM(C8,C9:C15)*'Fane 5. Individuelt eff. krav'!G9</f>
        <v>-513609.94996459701</v>
      </c>
      <c r="D16" s="8" t="s">
        <v>3</v>
      </c>
      <c r="E16" s="1"/>
    </row>
    <row r="17" spans="1:5" ht="17.25" customHeight="1" x14ac:dyDescent="0.25">
      <c r="A17" s="1"/>
      <c r="B17" s="23" t="s">
        <v>23</v>
      </c>
      <c r="C17" s="9">
        <f>-'Fane 4.1. Gen. krav - drift'!G43</f>
        <v>-323373.94997487724</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44704219.04863289</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omk.'!C17</f>
        <v>33134041.744749606</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205</v>
      </c>
      <c r="C25" s="9">
        <f>-C23*('Fane 13. Nøgletal'!C31+'Fane 5. Individuelt eff. krav'!G9)</f>
        <v>0</v>
      </c>
      <c r="D25" s="8" t="s">
        <v>3</v>
      </c>
      <c r="E25" s="1"/>
    </row>
    <row r="26" spans="1:5" ht="15" customHeight="1" x14ac:dyDescent="0.25">
      <c r="A26" s="1"/>
      <c r="B26" s="23" t="s">
        <v>206</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ØR2021'!E30</f>
        <v>0</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77838260.793382496</v>
      </c>
      <c r="D32" s="19" t="s">
        <v>3</v>
      </c>
      <c r="E32" s="1"/>
    </row>
    <row r="33" spans="1:5" x14ac:dyDescent="0.25">
      <c r="A33" s="1"/>
      <c r="B33" s="1" t="s">
        <v>209</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l8BEe6u/bC5JqCWCZZW/9uBCUIgZjxTA14a7Kdp5ngF7VLKqo9NnUa8aegKjtvJACoA7y8fNRmV8Xo3bqctCA==" saltValue="9NO5lz2IJuie+CSlLhqQW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44704219.04863289</v>
      </c>
      <c r="D8" s="8" t="s">
        <v>3</v>
      </c>
      <c r="E8" s="1"/>
    </row>
    <row r="9" spans="1:5" ht="15" customHeight="1" x14ac:dyDescent="0.25">
      <c r="A9" s="1"/>
      <c r="B9" s="60" t="s">
        <v>17</v>
      </c>
      <c r="C9" s="9">
        <f>SUM(C8:C8)*'Fane 13. Nøgletal'!C15</f>
        <v>1591470.1981313308</v>
      </c>
      <c r="D9" s="8" t="s">
        <v>3</v>
      </c>
      <c r="E9" s="1"/>
    </row>
    <row r="10" spans="1:5" ht="15" customHeight="1" x14ac:dyDescent="0.25">
      <c r="A10" s="1"/>
      <c r="B10" s="60" t="s">
        <v>9</v>
      </c>
      <c r="C10" s="9">
        <f>-SUM(C8:C9)*'Fane 5. Individuelt eff. krav'!G9</f>
        <v>-522118.98452613223</v>
      </c>
      <c r="D10" s="8" t="s">
        <v>3</v>
      </c>
      <c r="E10" s="1"/>
    </row>
    <row r="11" spans="1:5" ht="15" customHeight="1" x14ac:dyDescent="0.25">
      <c r="A11" s="1"/>
      <c r="B11" s="60" t="s">
        <v>23</v>
      </c>
      <c r="C11" s="9">
        <f>-'Fane 4.1. Gen. krav - drift'!G48</f>
        <v>-328188.3413421032</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45445381.920895979</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f>
        <v>34313613.630862691</v>
      </c>
      <c r="D15" s="11" t="s">
        <v>3</v>
      </c>
      <c r="E15" s="1"/>
    </row>
    <row r="16" spans="1:5" x14ac:dyDescent="0.25">
      <c r="A16" s="1"/>
      <c r="B16" s="25" t="s">
        <v>128</v>
      </c>
      <c r="C16" s="64"/>
      <c r="D16" s="19"/>
      <c r="E16" s="1"/>
    </row>
    <row r="17" spans="1:5" ht="15" customHeight="1" x14ac:dyDescent="0.25">
      <c r="A17" s="1"/>
      <c r="B17" s="76" t="s">
        <v>129</v>
      </c>
      <c r="C17" s="10">
        <f>'Fane 7. Kontrol af ØR2021'!E30</f>
        <v>0</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79758995.551758677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pfnjGfd7i4+MfmNFNUFDccKGtu9e+m4lgtoVpQr0wSXQEzHmhKO6iz6S3bJsomKGZvMYxIt4iiN8JcUmOEV5uw==" saltValue="p5+XcQJjqxZwHkQCCwcwv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45445381.920895979</v>
      </c>
      <c r="D8" s="8" t="s">
        <v>3</v>
      </c>
      <c r="E8" s="1"/>
    </row>
    <row r="9" spans="1:5" ht="15" customHeight="1" x14ac:dyDescent="0.25">
      <c r="A9" s="1"/>
      <c r="B9" s="60" t="s">
        <v>17</v>
      </c>
      <c r="C9" s="9">
        <f>SUM(C8:C8)*'Fane 13. Nøgletal'!C15</f>
        <v>1617855.5963838969</v>
      </c>
      <c r="D9" s="8" t="s">
        <v>3</v>
      </c>
      <c r="E9" s="1"/>
    </row>
    <row r="10" spans="1:5" ht="15" customHeight="1" x14ac:dyDescent="0.25">
      <c r="A10" s="1"/>
      <c r="B10" s="60" t="s">
        <v>9</v>
      </c>
      <c r="C10" s="9">
        <f>-SUM(C8:C9)*'Fane 5. Individuelt eff. krav'!G9</f>
        <v>-530775.33093973342</v>
      </c>
      <c r="D10" s="8" t="s">
        <v>3</v>
      </c>
      <c r="E10" s="1"/>
    </row>
    <row r="11" spans="1:5" ht="15" customHeight="1" x14ac:dyDescent="0.25">
      <c r="A11" s="1"/>
      <c r="B11" s="60" t="s">
        <v>23</v>
      </c>
      <c r="C11" s="9">
        <f>-'Fane 4.1. Gen. krav - drift'!G53</f>
        <v>-333074.40936800453</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46199387.776972145</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Nøgletal'!C15)^2</f>
        <v>35535178.276121408</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81734566.053093553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kSNJjHu/EgqIFtFf5oWuez9dLfJIWaBUkTrbavouBcSRHAkMB8S33WQr1Z0dY5xWu2fE9KYj4YlpM6MPBuSRbw==" saltValue="J2JWSQNNcZbJ0zjwgM4h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168</v>
      </c>
      <c r="C8" s="7">
        <f>'Fane 2.3. Økonomisk ramme 2025'!C13</f>
        <v>46199387.776972145</v>
      </c>
      <c r="D8" s="8" t="s">
        <v>3</v>
      </c>
      <c r="E8" s="1"/>
    </row>
    <row r="9" spans="1:5" ht="15" customHeight="1" x14ac:dyDescent="0.25">
      <c r="A9" s="1"/>
      <c r="B9" s="60" t="s">
        <v>17</v>
      </c>
      <c r="C9" s="9">
        <f>SUM(C8:C8)*'Fane 13. Nøgletal'!C15</f>
        <v>1644698.2048602083</v>
      </c>
      <c r="D9" s="8" t="s">
        <v>3</v>
      </c>
      <c r="E9" s="1"/>
    </row>
    <row r="10" spans="1:5" ht="15" customHeight="1" x14ac:dyDescent="0.25">
      <c r="A10" s="1"/>
      <c r="B10" s="60" t="s">
        <v>9</v>
      </c>
      <c r="C10" s="9">
        <f>-SUM(C8:C9)*'Fane 5. Individuelt eff. krav'!G9</f>
        <v>-539581.67585033271</v>
      </c>
      <c r="D10" s="8" t="s">
        <v>3</v>
      </c>
      <c r="E10" s="1"/>
    </row>
    <row r="11" spans="1:5" ht="15" customHeight="1" x14ac:dyDescent="0.25">
      <c r="A11" s="1"/>
      <c r="B11" s="60" t="s">
        <v>23</v>
      </c>
      <c r="C11" s="9">
        <f>-'Fane 4.1. Gen. krav - drift'!G58</f>
        <v>-338033.22117467539</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46966471.084807351</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Nøgletal'!C15)^3</f>
        <v>36800230.622751333</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169</v>
      </c>
      <c r="C20" s="12">
        <f>SUM(C13,C15,C17,C19)</f>
        <v>83766701.707558692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iEu2fpQU68XCBq54V/t9NeNY7K1NAdXz0tL7/6Kki724Aw9UPQadWjcStbSplRUyXFm8Iv62/nObtGQksgVf+g==" saltValue="cuCM0GUxDrAKy65Q9AEWZ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170</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171</v>
      </c>
      <c r="C8" s="64"/>
      <c r="D8" s="64"/>
      <c r="E8" s="64"/>
      <c r="F8" s="19"/>
      <c r="G8" s="1"/>
    </row>
    <row r="9" spans="1:7" x14ac:dyDescent="0.25">
      <c r="A9" s="1"/>
      <c r="B9" s="122" t="s">
        <v>22</v>
      </c>
      <c r="C9" s="123"/>
      <c r="D9" s="124"/>
      <c r="E9" s="7">
        <v>45190700.968125589</v>
      </c>
      <c r="F9" s="8" t="s">
        <v>3</v>
      </c>
      <c r="G9" s="1"/>
    </row>
    <row r="10" spans="1:7" ht="15" customHeight="1" x14ac:dyDescent="0.25">
      <c r="A10" s="1"/>
      <c r="B10" s="104" t="s">
        <v>35</v>
      </c>
      <c r="C10" s="105"/>
      <c r="D10" s="106"/>
      <c r="E10" s="9">
        <v>0</v>
      </c>
      <c r="F10" s="8" t="s">
        <v>3</v>
      </c>
      <c r="G10" s="1"/>
    </row>
    <row r="11" spans="1:7" ht="15" customHeight="1" x14ac:dyDescent="0.25">
      <c r="A11" s="1"/>
      <c r="B11" s="104" t="s">
        <v>36</v>
      </c>
      <c r="C11" s="105"/>
      <c r="D11" s="106"/>
      <c r="E11" s="9">
        <v>0</v>
      </c>
      <c r="F11" s="8" t="s">
        <v>3</v>
      </c>
      <c r="G11" s="1"/>
    </row>
    <row r="12" spans="1:7" x14ac:dyDescent="0.25">
      <c r="A12" s="1"/>
      <c r="B12" s="104" t="s">
        <v>26</v>
      </c>
      <c r="C12" s="105"/>
      <c r="D12" s="106"/>
      <c r="E12" s="9">
        <v>0</v>
      </c>
      <c r="F12" s="8" t="s">
        <v>3</v>
      </c>
      <c r="G12" s="1"/>
    </row>
    <row r="13" spans="1:7" x14ac:dyDescent="0.25">
      <c r="A13" s="1"/>
      <c r="B13" s="104" t="s">
        <v>25</v>
      </c>
      <c r="C13" s="105"/>
      <c r="D13" s="106"/>
      <c r="E13" s="9">
        <v>0</v>
      </c>
      <c r="F13" s="8" t="s">
        <v>3</v>
      </c>
      <c r="G13" s="1"/>
    </row>
    <row r="14" spans="1:7" x14ac:dyDescent="0.25">
      <c r="A14" s="1"/>
      <c r="B14" s="104" t="s">
        <v>114</v>
      </c>
      <c r="C14" s="105"/>
      <c r="D14" s="106"/>
      <c r="E14" s="9">
        <v>0</v>
      </c>
      <c r="F14" s="8" t="s">
        <v>3</v>
      </c>
      <c r="G14" s="1"/>
    </row>
    <row r="15" spans="1:7" x14ac:dyDescent="0.25">
      <c r="A15" s="1"/>
      <c r="B15" s="104" t="s">
        <v>115</v>
      </c>
      <c r="C15" s="105"/>
      <c r="D15" s="106"/>
      <c r="E15" s="9">
        <v>0</v>
      </c>
      <c r="F15" s="8" t="s">
        <v>3</v>
      </c>
      <c r="G15" s="1"/>
    </row>
    <row r="16" spans="1:7" x14ac:dyDescent="0.25">
      <c r="A16" s="1"/>
      <c r="B16" s="104" t="s">
        <v>17</v>
      </c>
      <c r="C16" s="105"/>
      <c r="D16" s="106"/>
      <c r="E16" s="9">
        <v>551326.55181113223</v>
      </c>
      <c r="F16" s="8" t="s">
        <v>3</v>
      </c>
      <c r="G16" s="30"/>
    </row>
    <row r="17" spans="1:7" x14ac:dyDescent="0.25">
      <c r="A17" s="1"/>
      <c r="B17" s="104" t="s">
        <v>9</v>
      </c>
      <c r="C17" s="105"/>
      <c r="D17" s="106"/>
      <c r="E17" s="9">
        <v>-532697.03529776388</v>
      </c>
      <c r="F17" s="8" t="s">
        <v>3</v>
      </c>
      <c r="G17" s="1"/>
    </row>
    <row r="18" spans="1:7" x14ac:dyDescent="0.25">
      <c r="A18" s="1"/>
      <c r="B18" s="104" t="s">
        <v>23</v>
      </c>
      <c r="C18" s="105"/>
      <c r="D18" s="106"/>
      <c r="E18" s="9">
        <v>-318630.18379848538</v>
      </c>
      <c r="F18" s="8" t="s">
        <v>3</v>
      </c>
      <c r="G18" s="1"/>
    </row>
    <row r="19" spans="1:7" x14ac:dyDescent="0.25">
      <c r="A19" s="1"/>
      <c r="B19" s="104" t="s">
        <v>24</v>
      </c>
      <c r="C19" s="105"/>
      <c r="D19" s="106"/>
      <c r="E19" s="9">
        <v>-915031.17321168468</v>
      </c>
      <c r="F19" s="8" t="s">
        <v>3</v>
      </c>
      <c r="G19" s="1"/>
    </row>
    <row r="20" spans="1:7" x14ac:dyDescent="0.25">
      <c r="A20" s="1"/>
      <c r="B20" s="107" t="s">
        <v>19</v>
      </c>
      <c r="C20" s="108"/>
      <c r="D20" s="109"/>
      <c r="E20" s="31">
        <f>SUM(E9:E19)</f>
        <v>43975669.127628781</v>
      </c>
      <c r="F20" s="33" t="s">
        <v>3</v>
      </c>
      <c r="G20" s="1"/>
    </row>
    <row r="21" spans="1:7" x14ac:dyDescent="0.25">
      <c r="A21" s="1"/>
      <c r="B21" s="63" t="s">
        <v>11</v>
      </c>
      <c r="C21" s="64"/>
      <c r="D21" s="64"/>
      <c r="E21" s="64"/>
      <c r="F21" s="19"/>
      <c r="G21" s="1"/>
    </row>
    <row r="22" spans="1:7" x14ac:dyDescent="0.25">
      <c r="A22" s="1"/>
      <c r="B22" s="115" t="s">
        <v>11</v>
      </c>
      <c r="C22" s="116"/>
      <c r="D22" s="117"/>
      <c r="E22" s="10">
        <v>27571209.176181044</v>
      </c>
      <c r="F22" s="11" t="s">
        <v>3</v>
      </c>
      <c r="G22" s="1"/>
    </row>
    <row r="23" spans="1:7" ht="15" customHeight="1" x14ac:dyDescent="0.25">
      <c r="A23" s="1"/>
      <c r="B23" s="113" t="s">
        <v>80</v>
      </c>
      <c r="C23" s="114"/>
      <c r="D23" s="114"/>
      <c r="E23" s="64"/>
      <c r="F23" s="64"/>
      <c r="G23" s="1"/>
    </row>
    <row r="24" spans="1:7" ht="14.25" customHeight="1" x14ac:dyDescent="0.25">
      <c r="A24" s="1"/>
      <c r="B24" s="101" t="s">
        <v>76</v>
      </c>
      <c r="C24" s="102"/>
      <c r="D24" s="103"/>
      <c r="E24" s="9">
        <v>0</v>
      </c>
      <c r="F24" s="8" t="s">
        <v>3</v>
      </c>
      <c r="G24" s="1"/>
    </row>
    <row r="25" spans="1:7" ht="14.25" customHeight="1" x14ac:dyDescent="0.25">
      <c r="A25" s="1"/>
      <c r="B25" s="101" t="s">
        <v>77</v>
      </c>
      <c r="C25" s="102"/>
      <c r="D25" s="103"/>
      <c r="E25" s="9">
        <v>0</v>
      </c>
      <c r="F25" s="8" t="s">
        <v>3</v>
      </c>
      <c r="G25" s="1"/>
    </row>
    <row r="26" spans="1:7" x14ac:dyDescent="0.25">
      <c r="A26" s="1"/>
      <c r="B26" s="110" t="s">
        <v>81</v>
      </c>
      <c r="C26" s="111"/>
      <c r="D26" s="111"/>
      <c r="E26" s="10">
        <v>0</v>
      </c>
      <c r="F26" s="11" t="s">
        <v>3</v>
      </c>
      <c r="G26" s="1"/>
    </row>
    <row r="27" spans="1:7" x14ac:dyDescent="0.25">
      <c r="A27" s="1"/>
      <c r="B27" s="63" t="s">
        <v>128</v>
      </c>
      <c r="C27" s="64"/>
      <c r="D27" s="64"/>
      <c r="E27" s="64"/>
      <c r="F27" s="19"/>
      <c r="G27" s="1"/>
    </row>
    <row r="28" spans="1:7" ht="15" customHeight="1" x14ac:dyDescent="0.25">
      <c r="A28" s="1"/>
      <c r="B28" s="110" t="s">
        <v>129</v>
      </c>
      <c r="C28" s="111"/>
      <c r="D28" s="112"/>
      <c r="E28" s="10">
        <v>-689663.25868093967</v>
      </c>
      <c r="F28" s="11" t="s">
        <v>3</v>
      </c>
      <c r="G28" s="1"/>
    </row>
    <row r="29" spans="1:7" x14ac:dyDescent="0.25">
      <c r="A29" s="1"/>
      <c r="B29" s="63" t="s">
        <v>158</v>
      </c>
      <c r="C29" s="64"/>
      <c r="D29" s="64"/>
      <c r="E29" s="64"/>
      <c r="F29" s="19"/>
      <c r="G29" s="1"/>
    </row>
    <row r="30" spans="1:7" ht="15.75" customHeight="1" x14ac:dyDescent="0.25">
      <c r="A30" s="1"/>
      <c r="B30" s="115" t="s">
        <v>159</v>
      </c>
      <c r="C30" s="116"/>
      <c r="D30" s="117"/>
      <c r="E30" s="10">
        <v>0</v>
      </c>
      <c r="F30" s="11" t="s">
        <v>3</v>
      </c>
      <c r="G30" s="1"/>
    </row>
    <row r="31" spans="1:7" ht="15.75" customHeight="1" x14ac:dyDescent="0.25">
      <c r="A31" s="1"/>
      <c r="B31" s="118" t="s">
        <v>153</v>
      </c>
      <c r="C31" s="119"/>
      <c r="D31" s="119"/>
      <c r="E31" s="119"/>
      <c r="F31" s="120"/>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70857215.045128882</v>
      </c>
      <c r="F33" s="13" t="s">
        <v>3</v>
      </c>
      <c r="G33" s="1"/>
    </row>
    <row r="34" spans="1:7" ht="27.75" customHeight="1" x14ac:dyDescent="0.25">
      <c r="A34" s="1"/>
      <c r="B34" s="101" t="s">
        <v>172</v>
      </c>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08EMbf3E7pSllZ04UKzJUATeInM/LnfHwGzvyoSNeithhxhlQpwh6S0fz3ZrVkASnKplbxINJoBCihGaQQlN6Q==" saltValue="bJ0XXll6l2zKyvZW2mmjG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1" t="s">
        <v>98</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18" t="s">
        <v>49</v>
      </c>
      <c r="C4" s="119"/>
      <c r="D4" s="119"/>
      <c r="E4" s="119"/>
      <c r="F4" s="119"/>
      <c r="G4" s="119"/>
      <c r="H4" s="120"/>
      <c r="I4" s="1"/>
    </row>
    <row r="5" spans="1:9" x14ac:dyDescent="0.25">
      <c r="A5" s="1"/>
      <c r="B5" s="125" t="s">
        <v>38</v>
      </c>
      <c r="C5" s="126"/>
      <c r="D5" s="126"/>
      <c r="E5" s="126"/>
      <c r="F5" s="127"/>
      <c r="G5" s="54">
        <v>14254145.969515087</v>
      </c>
      <c r="H5" s="14" t="s">
        <v>3</v>
      </c>
      <c r="I5" s="1"/>
    </row>
    <row r="6" spans="1:9" x14ac:dyDescent="0.25">
      <c r="A6" s="1"/>
      <c r="B6" s="125" t="s">
        <v>39</v>
      </c>
      <c r="C6" s="126"/>
      <c r="D6" s="126"/>
      <c r="E6" s="126"/>
      <c r="F6" s="127"/>
      <c r="G6" s="54">
        <f>G5*'Fane 13. Nøgletal'!C31</f>
        <v>285082.91939030174</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8" t="s">
        <v>50</v>
      </c>
      <c r="C9" s="119"/>
      <c r="D9" s="119"/>
      <c r="E9" s="119"/>
      <c r="F9" s="119"/>
      <c r="G9" s="131"/>
      <c r="H9" s="120"/>
      <c r="I9" s="1"/>
    </row>
    <row r="10" spans="1:9" x14ac:dyDescent="0.25">
      <c r="A10" s="1"/>
      <c r="B10" s="125" t="s">
        <v>40</v>
      </c>
      <c r="C10" s="126"/>
      <c r="D10" s="126"/>
      <c r="E10" s="126"/>
      <c r="F10" s="127"/>
      <c r="G10" s="54">
        <f>(G5-G6)*(1+'Fane 13. Nøgletal'!C9)</f>
        <v>14146470.150861369</v>
      </c>
      <c r="H10" s="14" t="s">
        <v>3</v>
      </c>
      <c r="I10" s="1"/>
    </row>
    <row r="11" spans="1:9" x14ac:dyDescent="0.25">
      <c r="A11" s="1"/>
      <c r="B11" s="128" t="s">
        <v>41</v>
      </c>
      <c r="C11" s="129"/>
      <c r="D11" s="129"/>
      <c r="E11" s="129"/>
      <c r="F11" s="130"/>
      <c r="G11" s="54">
        <v>0</v>
      </c>
      <c r="H11" s="14" t="s">
        <v>3</v>
      </c>
      <c r="I11" s="1"/>
    </row>
    <row r="12" spans="1:9" x14ac:dyDescent="0.25">
      <c r="A12" s="1"/>
      <c r="B12" s="125" t="s">
        <v>42</v>
      </c>
      <c r="C12" s="126"/>
      <c r="D12" s="126"/>
      <c r="E12" s="126"/>
      <c r="F12" s="127"/>
      <c r="G12" s="54">
        <f>(G10+G11)*'Fane 13. Nøgletal'!C31</f>
        <v>282929.40301722742</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8" t="s">
        <v>51</v>
      </c>
      <c r="C15" s="119"/>
      <c r="D15" s="119"/>
      <c r="E15" s="119"/>
      <c r="F15" s="119"/>
      <c r="G15" s="131"/>
      <c r="H15" s="120"/>
      <c r="I15" s="1"/>
    </row>
    <row r="16" spans="1:9" x14ac:dyDescent="0.25">
      <c r="A16" s="1"/>
      <c r="B16" s="125" t="s">
        <v>43</v>
      </c>
      <c r="C16" s="126"/>
      <c r="D16" s="126"/>
      <c r="E16" s="126"/>
      <c r="F16" s="127"/>
      <c r="G16" s="54">
        <f>(G10+G11-G12)*(1+'Fane 13. Nøgletal'!C11)</f>
        <v>14097834.586482707</v>
      </c>
      <c r="H16" s="14" t="s">
        <v>3</v>
      </c>
      <c r="I16" s="1"/>
    </row>
    <row r="17" spans="1:9" x14ac:dyDescent="0.25">
      <c r="A17" s="1"/>
      <c r="B17" s="125" t="s">
        <v>108</v>
      </c>
      <c r="C17" s="126"/>
      <c r="D17" s="126"/>
      <c r="E17" s="126"/>
      <c r="F17" s="127"/>
      <c r="G17" s="54">
        <v>492108.9162263113</v>
      </c>
      <c r="H17" s="14" t="s">
        <v>3</v>
      </c>
      <c r="I17" s="1"/>
    </row>
    <row r="18" spans="1:9" x14ac:dyDescent="0.25">
      <c r="A18" s="1"/>
      <c r="B18" s="128" t="s">
        <v>44</v>
      </c>
      <c r="C18" s="129"/>
      <c r="D18" s="129"/>
      <c r="E18" s="129"/>
      <c r="F18" s="130"/>
      <c r="G18" s="54">
        <v>1517724.3475401697</v>
      </c>
      <c r="H18" s="14" t="s">
        <v>3</v>
      </c>
      <c r="I18" s="1"/>
    </row>
    <row r="19" spans="1:9" x14ac:dyDescent="0.25">
      <c r="A19" s="1"/>
      <c r="B19" s="125" t="s">
        <v>45</v>
      </c>
      <c r="C19" s="126"/>
      <c r="D19" s="126"/>
      <c r="E19" s="126"/>
      <c r="F19" s="127"/>
      <c r="G19" s="54">
        <f>SUM(G16:G18)*'Fane 13. Nøgletal'!C31</f>
        <v>322153.35700498376</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8" t="s">
        <v>52</v>
      </c>
      <c r="C22" s="119"/>
      <c r="D22" s="119"/>
      <c r="E22" s="119"/>
      <c r="F22" s="119"/>
      <c r="G22" s="131"/>
      <c r="H22" s="120"/>
      <c r="I22" s="1"/>
    </row>
    <row r="23" spans="1:9" x14ac:dyDescent="0.25">
      <c r="A23" s="1"/>
      <c r="B23" s="125" t="s">
        <v>46</v>
      </c>
      <c r="C23" s="126"/>
      <c r="D23" s="126"/>
      <c r="E23" s="126"/>
      <c r="F23" s="127"/>
      <c r="G23" s="54">
        <f>(SUM(G16:G18)-G19)*(1+'Fane 13. Nøgletal'!C11)</f>
        <v>16052289.688180031</v>
      </c>
      <c r="H23" s="14" t="s">
        <v>3</v>
      </c>
      <c r="I23" s="1"/>
    </row>
    <row r="24" spans="1:9" x14ac:dyDescent="0.25">
      <c r="A24" s="1"/>
      <c r="B24" s="128" t="s">
        <v>47</v>
      </c>
      <c r="C24" s="129"/>
      <c r="D24" s="129"/>
      <c r="E24" s="129"/>
      <c r="F24" s="130"/>
      <c r="G24" s="54">
        <v>113724.74276757002</v>
      </c>
      <c r="H24" s="14" t="s">
        <v>3</v>
      </c>
      <c r="I24" s="1"/>
    </row>
    <row r="25" spans="1:9" x14ac:dyDescent="0.25">
      <c r="A25" s="1"/>
      <c r="B25" s="125" t="s">
        <v>48</v>
      </c>
      <c r="C25" s="126"/>
      <c r="D25" s="126"/>
      <c r="E25" s="126"/>
      <c r="F25" s="127"/>
      <c r="G25" s="54">
        <f>(G23+G24)*'Fane 13. Nøgletal'!C31</f>
        <v>323320.28861895204</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8" t="s">
        <v>132</v>
      </c>
      <c r="C28" s="119"/>
      <c r="D28" s="119"/>
      <c r="E28" s="119"/>
      <c r="F28" s="119"/>
      <c r="G28" s="131"/>
      <c r="H28" s="120"/>
      <c r="I28" s="1"/>
    </row>
    <row r="29" spans="1:9" x14ac:dyDescent="0.25">
      <c r="A29" s="1"/>
      <c r="B29" s="125" t="s">
        <v>55</v>
      </c>
      <c r="C29" s="126"/>
      <c r="D29" s="126"/>
      <c r="E29" s="126"/>
      <c r="F29" s="127"/>
      <c r="G29" s="54">
        <f>(G23+G24-G25)*(1+'Fane 13. Nøgletal'!C13)</f>
        <v>16035975.010865059</v>
      </c>
      <c r="H29" s="14" t="s">
        <v>3</v>
      </c>
      <c r="I29" s="1"/>
    </row>
    <row r="30" spans="1:9" x14ac:dyDescent="0.25">
      <c r="A30" s="1"/>
      <c r="B30" s="125" t="s">
        <v>121</v>
      </c>
      <c r="C30" s="126"/>
      <c r="D30" s="126"/>
      <c r="E30" s="126"/>
      <c r="F30" s="127"/>
      <c r="G30" s="54">
        <v>24726.461704559999</v>
      </c>
      <c r="H30" s="14" t="s">
        <v>3</v>
      </c>
      <c r="I30" s="1"/>
    </row>
    <row r="31" spans="1:9" x14ac:dyDescent="0.25">
      <c r="A31" s="1"/>
      <c r="B31" s="125" t="s">
        <v>126</v>
      </c>
      <c r="C31" s="126"/>
      <c r="D31" s="126"/>
      <c r="E31" s="126"/>
      <c r="F31" s="127"/>
      <c r="G31" s="54">
        <f>(G29+G30)*'Fane 13. Nøgletal'!C31</f>
        <v>321214.02945139236</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8" t="s">
        <v>133</v>
      </c>
      <c r="C34" s="119"/>
      <c r="D34" s="119"/>
      <c r="E34" s="119"/>
      <c r="F34" s="119"/>
      <c r="G34" s="131"/>
      <c r="H34" s="120"/>
      <c r="I34" s="1"/>
    </row>
    <row r="35" spans="1:9" x14ac:dyDescent="0.25">
      <c r="A35" s="1"/>
      <c r="B35" s="125" t="s">
        <v>74</v>
      </c>
      <c r="C35" s="126"/>
      <c r="D35" s="126"/>
      <c r="E35" s="126"/>
      <c r="F35" s="127"/>
      <c r="G35" s="54">
        <f>(G29+G30-G31)*(1+'Fane 13. Nøgletal'!C13)</f>
        <v>15931509.189924268</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0</v>
      </c>
      <c r="H36" s="14" t="s">
        <v>3</v>
      </c>
      <c r="I36" s="1"/>
    </row>
    <row r="37" spans="1:9" x14ac:dyDescent="0.25">
      <c r="A37" s="1"/>
      <c r="B37" s="125" t="s">
        <v>134</v>
      </c>
      <c r="C37" s="126"/>
      <c r="D37" s="126"/>
      <c r="E37" s="126"/>
      <c r="F37" s="127"/>
      <c r="G37" s="54">
        <f>(G35+G36)*'Fane 13. Nøgletal'!C31</f>
        <v>318630.18379848538</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8" t="s">
        <v>197</v>
      </c>
      <c r="C40" s="119"/>
      <c r="D40" s="119"/>
      <c r="E40" s="119"/>
      <c r="F40" s="119"/>
      <c r="G40" s="131"/>
      <c r="H40" s="120"/>
      <c r="I40" s="1"/>
    </row>
    <row r="41" spans="1:9" x14ac:dyDescent="0.25">
      <c r="A41" s="1"/>
      <c r="B41" s="125" t="s">
        <v>73</v>
      </c>
      <c r="C41" s="126"/>
      <c r="D41" s="126"/>
      <c r="E41" s="126"/>
      <c r="F41" s="127"/>
      <c r="G41" s="54">
        <f>(G35+G36-G37)*(1+'Fane 13. Nøgletal'!C15)</f>
        <v>16168697.498743862</v>
      </c>
      <c r="H41" s="14" t="s">
        <v>3</v>
      </c>
      <c r="I41" s="1"/>
    </row>
    <row r="42" spans="1:9" x14ac:dyDescent="0.25">
      <c r="A42" s="1"/>
      <c r="B42" s="125" t="s">
        <v>196</v>
      </c>
      <c r="C42" s="126"/>
      <c r="D42" s="126"/>
      <c r="E42" s="126"/>
      <c r="F42" s="127"/>
      <c r="G42" s="54">
        <f>('Fane 2.1. Økonomisk ramme 2023'!C9+'Fane 2.1. Økonomisk ramme 2023'!C11+'Fane 2.1. Økonomisk ramme 2023'!C13)*(1+'Fane 13. Nøgletal'!C15)</f>
        <v>0</v>
      </c>
      <c r="H42" s="14" t="s">
        <v>3</v>
      </c>
      <c r="I42" s="1"/>
    </row>
    <row r="43" spans="1:9" x14ac:dyDescent="0.25">
      <c r="A43" s="1"/>
      <c r="B43" s="125" t="s">
        <v>207</v>
      </c>
      <c r="C43" s="126"/>
      <c r="D43" s="126"/>
      <c r="E43" s="126"/>
      <c r="F43" s="127"/>
      <c r="G43" s="54">
        <f>(G41+G42)*'Fane 13. Nøgletal'!C31</f>
        <v>323373.94997487724</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8" t="s">
        <v>198</v>
      </c>
      <c r="C46" s="119"/>
      <c r="D46" s="119"/>
      <c r="E46" s="119"/>
      <c r="F46" s="119"/>
      <c r="G46" s="131"/>
      <c r="H46" s="120"/>
      <c r="I46" s="1"/>
    </row>
    <row r="47" spans="1:9" x14ac:dyDescent="0.25">
      <c r="A47" s="1"/>
      <c r="B47" s="125" t="s">
        <v>122</v>
      </c>
      <c r="C47" s="126"/>
      <c r="D47" s="126"/>
      <c r="E47" s="126"/>
      <c r="F47" s="127"/>
      <c r="G47" s="54">
        <f>(G41+G42-G43)*(1+'Fane 13. Nøgletal'!C15)</f>
        <v>16409417.067105161</v>
      </c>
      <c r="H47" s="14" t="s">
        <v>3</v>
      </c>
      <c r="I47" s="1"/>
    </row>
    <row r="48" spans="1:9" x14ac:dyDescent="0.25">
      <c r="A48" s="1"/>
      <c r="B48" s="125" t="s">
        <v>208</v>
      </c>
      <c r="C48" s="126"/>
      <c r="D48" s="126"/>
      <c r="E48" s="126"/>
      <c r="F48" s="127"/>
      <c r="G48" s="54">
        <f>(G47)*'Fane 13. Nøgletal'!C31</f>
        <v>328188.3413421032</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8" t="s">
        <v>145</v>
      </c>
      <c r="C51" s="119"/>
      <c r="D51" s="119"/>
      <c r="E51" s="119"/>
      <c r="F51" s="119"/>
      <c r="G51" s="131"/>
      <c r="H51" s="120"/>
      <c r="I51" s="1"/>
    </row>
    <row r="52" spans="1:9" x14ac:dyDescent="0.25">
      <c r="A52" s="1"/>
      <c r="B52" s="125" t="s">
        <v>146</v>
      </c>
      <c r="C52" s="126"/>
      <c r="D52" s="126"/>
      <c r="E52" s="126"/>
      <c r="F52" s="127"/>
      <c r="G52" s="54">
        <f>(G47-G48)*(1+'Fane 13. Nøgletal'!C15)</f>
        <v>16653720.468400225</v>
      </c>
      <c r="H52" s="14" t="s">
        <v>3</v>
      </c>
      <c r="I52" s="1"/>
    </row>
    <row r="53" spans="1:9" x14ac:dyDescent="0.25">
      <c r="A53" s="1"/>
      <c r="B53" s="125" t="s">
        <v>147</v>
      </c>
      <c r="C53" s="126"/>
      <c r="D53" s="126"/>
      <c r="E53" s="126"/>
      <c r="F53" s="127"/>
      <c r="G53" s="54">
        <f>(G52)*'Fane 13. Nøgletal'!C31</f>
        <v>333074.40936800453</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8" t="s">
        <v>173</v>
      </c>
      <c r="C56" s="119"/>
      <c r="D56" s="119"/>
      <c r="E56" s="119"/>
      <c r="F56" s="119"/>
      <c r="G56" s="131"/>
      <c r="H56" s="120"/>
      <c r="I56" s="1"/>
    </row>
    <row r="57" spans="1:9" x14ac:dyDescent="0.25">
      <c r="A57" s="1"/>
      <c r="B57" s="125" t="s">
        <v>174</v>
      </c>
      <c r="C57" s="126"/>
      <c r="D57" s="126"/>
      <c r="E57" s="126"/>
      <c r="F57" s="127"/>
      <c r="G57" s="54">
        <f>(G52-G53)*(1+'Fane 13. Nøgletal'!C15)</f>
        <v>16901661.058733769</v>
      </c>
      <c r="H57" s="14" t="s">
        <v>3</v>
      </c>
      <c r="I57" s="1"/>
    </row>
    <row r="58" spans="1:9" x14ac:dyDescent="0.25">
      <c r="A58" s="1"/>
      <c r="B58" s="125" t="s">
        <v>175</v>
      </c>
      <c r="C58" s="126"/>
      <c r="D58" s="126"/>
      <c r="E58" s="126"/>
      <c r="F58" s="127"/>
      <c r="G58" s="54">
        <f>(G57)*'Fane 13. Nøgletal'!C31</f>
        <v>338033.22117467539</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OQqR8oBBUXjc2VkK67UG643Um99XVw5E1amGwL7bhlcv8zYL5xlSiTSdmvNSyzj3ZNCusDy3Hy5j/Xz1ssX7aw==" saltValue="yvArudOLnWql06hSz+02fw=="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 style="2" customWidth="1"/>
    <col min="2" max="5" width="9" style="2"/>
    <col min="6" max="6" width="25.42578125" style="2" customWidth="1"/>
    <col min="7" max="7" width="10.28515625" style="2" customWidth="1"/>
    <col min="8" max="8" width="2.85546875" style="2" bestFit="1" customWidth="1"/>
    <col min="9" max="9" width="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18" t="s">
        <v>53</v>
      </c>
      <c r="C4" s="119"/>
      <c r="D4" s="119"/>
      <c r="E4" s="119"/>
      <c r="F4" s="119"/>
      <c r="G4" s="119"/>
      <c r="H4" s="120"/>
      <c r="I4" s="1"/>
    </row>
    <row r="5" spans="1:9" x14ac:dyDescent="0.25">
      <c r="A5" s="1"/>
      <c r="B5" s="125" t="s">
        <v>56</v>
      </c>
      <c r="C5" s="126"/>
      <c r="D5" s="126"/>
      <c r="E5" s="126"/>
      <c r="F5" s="127"/>
      <c r="G5" s="54">
        <v>31631792.64663896</v>
      </c>
      <c r="H5" s="14" t="s">
        <v>3</v>
      </c>
      <c r="I5" s="1"/>
    </row>
    <row r="6" spans="1:9" x14ac:dyDescent="0.25">
      <c r="A6" s="1"/>
      <c r="B6" s="125" t="s">
        <v>54</v>
      </c>
      <c r="C6" s="126"/>
      <c r="D6" s="126"/>
      <c r="E6" s="126"/>
      <c r="F6" s="127"/>
      <c r="G6" s="54">
        <f>G5*'Fane 13. Nøgletal'!C20</f>
        <v>287849.31308441452</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8" t="s">
        <v>57</v>
      </c>
      <c r="C9" s="119"/>
      <c r="D9" s="119"/>
      <c r="E9" s="119"/>
      <c r="F9" s="119"/>
      <c r="G9" s="131"/>
      <c r="H9" s="120"/>
      <c r="I9" s="1"/>
    </row>
    <row r="10" spans="1:9" x14ac:dyDescent="0.25">
      <c r="A10" s="1"/>
      <c r="B10" s="125" t="s">
        <v>58</v>
      </c>
      <c r="C10" s="126"/>
      <c r="D10" s="126"/>
      <c r="E10" s="126"/>
      <c r="F10" s="127"/>
      <c r="G10" s="54">
        <f>(G5-G6)*(1+'Fane 13. Nøgletal'!C9)</f>
        <v>31742011.413890686</v>
      </c>
      <c r="H10" s="14" t="s">
        <v>3</v>
      </c>
      <c r="I10" s="1"/>
    </row>
    <row r="11" spans="1:9" x14ac:dyDescent="0.25">
      <c r="A11" s="1"/>
      <c r="B11" s="128" t="s">
        <v>59</v>
      </c>
      <c r="C11" s="129"/>
      <c r="D11" s="129"/>
      <c r="E11" s="129"/>
      <c r="F11" s="130"/>
      <c r="G11" s="59">
        <v>0</v>
      </c>
      <c r="H11" s="14" t="s">
        <v>3</v>
      </c>
      <c r="I11" s="1"/>
    </row>
    <row r="12" spans="1:9" x14ac:dyDescent="0.25">
      <c r="A12" s="1"/>
      <c r="B12" s="125" t="s">
        <v>60</v>
      </c>
      <c r="C12" s="126"/>
      <c r="D12" s="126"/>
      <c r="E12" s="126"/>
      <c r="F12" s="127"/>
      <c r="G12" s="54">
        <f>G10*'Fane 13. Nøgletal'!C20+G11*'Fane 13. Nøgletal'!C21</f>
        <v>288852.30386640527</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8" t="s">
        <v>61</v>
      </c>
      <c r="C15" s="119"/>
      <c r="D15" s="119"/>
      <c r="E15" s="119"/>
      <c r="F15" s="119"/>
      <c r="G15" s="131"/>
      <c r="H15" s="120"/>
      <c r="I15" s="1"/>
    </row>
    <row r="16" spans="1:9" x14ac:dyDescent="0.25">
      <c r="A16" s="1"/>
      <c r="B16" s="125" t="s">
        <v>62</v>
      </c>
      <c r="C16" s="126"/>
      <c r="D16" s="126"/>
      <c r="E16" s="126"/>
      <c r="F16" s="127"/>
      <c r="G16" s="54">
        <f>(G10+G11-G12)*(1+'Fane 13. Nøgletal'!C11)</f>
        <v>31984717.498983689</v>
      </c>
      <c r="H16" s="14" t="s">
        <v>3</v>
      </c>
      <c r="I16" s="1"/>
    </row>
    <row r="17" spans="1:9" x14ac:dyDescent="0.25">
      <c r="A17" s="1"/>
      <c r="B17" s="125" t="s">
        <v>109</v>
      </c>
      <c r="C17" s="126"/>
      <c r="D17" s="126"/>
      <c r="E17" s="126"/>
      <c r="F17" s="127"/>
      <c r="G17" s="54">
        <v>-60756.635395229518</v>
      </c>
      <c r="H17" s="14" t="s">
        <v>3</v>
      </c>
      <c r="I17" s="1"/>
    </row>
    <row r="18" spans="1:9" x14ac:dyDescent="0.25">
      <c r="A18" s="1"/>
      <c r="B18" s="128" t="s">
        <v>63</v>
      </c>
      <c r="C18" s="129"/>
      <c r="D18" s="129"/>
      <c r="E18" s="129"/>
      <c r="F18" s="130"/>
      <c r="G18" s="54">
        <v>946830.50031380984</v>
      </c>
      <c r="H18" s="14" t="s">
        <v>3</v>
      </c>
      <c r="I18" s="1"/>
    </row>
    <row r="19" spans="1:9" x14ac:dyDescent="0.25">
      <c r="A19" s="1"/>
      <c r="B19" s="125" t="s">
        <v>64</v>
      </c>
      <c r="C19" s="126"/>
      <c r="D19" s="126"/>
      <c r="E19" s="126"/>
      <c r="F19" s="127"/>
      <c r="G19" s="54">
        <f>(G16+G17+G18)*'Fane 13. Nøgletal'!C22</f>
        <v>285975.88486594975</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8" t="s">
        <v>65</v>
      </c>
      <c r="C22" s="119"/>
      <c r="D22" s="119"/>
      <c r="E22" s="119"/>
      <c r="F22" s="119"/>
      <c r="G22" s="131"/>
      <c r="H22" s="120"/>
      <c r="I22" s="1"/>
    </row>
    <row r="23" spans="1:9" x14ac:dyDescent="0.25">
      <c r="A23" s="1"/>
      <c r="B23" s="125" t="s">
        <v>66</v>
      </c>
      <c r="C23" s="126"/>
      <c r="D23" s="126"/>
      <c r="E23" s="126"/>
      <c r="F23" s="127"/>
      <c r="G23" s="54">
        <f>(SUM(G16:G18)-G19)*(1+'Fane 13. Nøgletal'!C11)</f>
        <v>33135498.860632032</v>
      </c>
      <c r="H23" s="14" t="s">
        <v>3</v>
      </c>
      <c r="I23" s="1"/>
    </row>
    <row r="24" spans="1:9" x14ac:dyDescent="0.25">
      <c r="A24" s="1"/>
      <c r="B24" s="128" t="s">
        <v>67</v>
      </c>
      <c r="C24" s="129"/>
      <c r="D24" s="129"/>
      <c r="E24" s="129"/>
      <c r="F24" s="130"/>
      <c r="G24" s="54">
        <v>495578.49653654109</v>
      </c>
      <c r="H24" s="14" t="s">
        <v>3</v>
      </c>
      <c r="I24" s="1"/>
    </row>
    <row r="25" spans="1:9" x14ac:dyDescent="0.25">
      <c r="A25" s="1"/>
      <c r="B25" s="125" t="s">
        <v>68</v>
      </c>
      <c r="C25" s="126"/>
      <c r="D25" s="126"/>
      <c r="E25" s="126"/>
      <c r="F25" s="127"/>
      <c r="G25" s="54">
        <f>G23*'Fane 13. Nøgletal'!C22+G24*'Fane 13. Nøgletal'!C23</f>
        <v>302353.2693891364</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8" t="s">
        <v>130</v>
      </c>
      <c r="C28" s="119"/>
      <c r="D28" s="119"/>
      <c r="E28" s="119"/>
      <c r="F28" s="119"/>
      <c r="G28" s="131"/>
      <c r="H28" s="120"/>
      <c r="I28" s="1"/>
    </row>
    <row r="29" spans="1:9" x14ac:dyDescent="0.25">
      <c r="A29" s="1"/>
      <c r="B29" s="125" t="s">
        <v>69</v>
      </c>
      <c r="C29" s="126"/>
      <c r="D29" s="126"/>
      <c r="E29" s="126"/>
      <c r="F29" s="127"/>
      <c r="G29" s="54">
        <f>(G23+G24-G25)*(1+'Fane 13. Nøgletal'!C13)</f>
        <v>33735334.521650344</v>
      </c>
      <c r="H29" s="14" t="s">
        <v>3</v>
      </c>
      <c r="I29" s="1"/>
    </row>
    <row r="30" spans="1:9" x14ac:dyDescent="0.25">
      <c r="A30" s="1"/>
      <c r="B30" s="125" t="s">
        <v>123</v>
      </c>
      <c r="C30" s="126"/>
      <c r="D30" s="126"/>
      <c r="E30" s="126"/>
      <c r="F30" s="127"/>
      <c r="G30" s="54">
        <v>67043.402443079991</v>
      </c>
      <c r="H30" s="14" t="s">
        <v>3</v>
      </c>
      <c r="I30" s="1"/>
    </row>
    <row r="31" spans="1:9" x14ac:dyDescent="0.25">
      <c r="A31" s="1"/>
      <c r="B31" s="125" t="s">
        <v>131</v>
      </c>
      <c r="C31" s="126"/>
      <c r="D31" s="126"/>
      <c r="E31" s="126"/>
      <c r="F31" s="127"/>
      <c r="G31" s="54">
        <f>(G29+G30)*'Fane 13. Nøgletal'!C24</f>
        <v>929565.39291256922</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8" t="s">
        <v>135</v>
      </c>
      <c r="C34" s="119"/>
      <c r="D34" s="119"/>
      <c r="E34" s="119"/>
      <c r="F34" s="119"/>
      <c r="G34" s="131"/>
      <c r="H34" s="120"/>
      <c r="I34" s="1"/>
    </row>
    <row r="35" spans="1:9" x14ac:dyDescent="0.25">
      <c r="A35" s="1"/>
      <c r="B35" s="125" t="s">
        <v>72</v>
      </c>
      <c r="C35" s="126"/>
      <c r="D35" s="126"/>
      <c r="E35" s="126"/>
      <c r="F35" s="127"/>
      <c r="G35" s="54">
        <f>(G29+G30-G31)*(1+'Fane 13. Nøgletal'!C13)</f>
        <v>33273860.844061259</v>
      </c>
      <c r="H35" s="14" t="s">
        <v>3</v>
      </c>
      <c r="I35" s="1"/>
    </row>
    <row r="36" spans="1:9" x14ac:dyDescent="0.25">
      <c r="A36" s="1"/>
      <c r="B36" s="125" t="s">
        <v>141</v>
      </c>
      <c r="C36" s="126"/>
      <c r="D36" s="126"/>
      <c r="E36" s="126"/>
      <c r="F36" s="127"/>
      <c r="G36" s="54">
        <f>SUM('Fane 3. Omkostninger i ØR2022'!E11)*(1+'Fane 13. Nøgletal'!C14)</f>
        <v>0</v>
      </c>
      <c r="H36" s="14" t="s">
        <v>3</v>
      </c>
      <c r="I36" s="1"/>
    </row>
    <row r="37" spans="1:9" x14ac:dyDescent="0.25">
      <c r="A37" s="1"/>
      <c r="B37" s="125" t="s">
        <v>136</v>
      </c>
      <c r="C37" s="126"/>
      <c r="D37" s="126"/>
      <c r="E37" s="126"/>
      <c r="F37" s="127"/>
      <c r="G37" s="54">
        <f>G35*'Fane 13. Nøgletal'!C24+G36*'Fane 13. Nøgletal'!C25</f>
        <v>915031.17321168468</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8" t="s">
        <v>199</v>
      </c>
      <c r="C40" s="119"/>
      <c r="D40" s="119"/>
      <c r="E40" s="119"/>
      <c r="F40" s="119"/>
      <c r="G40" s="131"/>
      <c r="H40" s="120"/>
      <c r="I40" s="1"/>
    </row>
    <row r="41" spans="1:9" x14ac:dyDescent="0.25">
      <c r="A41" s="1"/>
      <c r="B41" s="125" t="s">
        <v>71</v>
      </c>
      <c r="C41" s="126"/>
      <c r="D41" s="126"/>
      <c r="E41" s="126"/>
      <c r="F41" s="127"/>
      <c r="G41" s="54">
        <f>(G35+G36-G37)*(1+'Fane 13. Nøgletal'!C15)</f>
        <v>33510804.007131819</v>
      </c>
      <c r="H41" s="14" t="s">
        <v>3</v>
      </c>
      <c r="I41" s="1"/>
    </row>
    <row r="42" spans="1:9" x14ac:dyDescent="0.25">
      <c r="A42" s="1"/>
      <c r="B42" s="125" t="s">
        <v>210</v>
      </c>
      <c r="C42" s="126"/>
      <c r="D42" s="126"/>
      <c r="E42" s="126"/>
      <c r="F42" s="127"/>
      <c r="G42" s="59">
        <f>SUM('Fane 2.1. Økonomisk ramme 2023'!C10+'Fane 2.1. Økonomisk ramme 2023'!C12+'Fane 2.1. Økonomisk ramme 2023'!C14)*(1+'Fane 13. Nøgletal'!C15)</f>
        <v>0</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8" t="s">
        <v>200</v>
      </c>
      <c r="C46" s="119"/>
      <c r="D46" s="119"/>
      <c r="E46" s="119"/>
      <c r="F46" s="119"/>
      <c r="G46" s="131"/>
      <c r="H46" s="120"/>
      <c r="I46" s="1"/>
    </row>
    <row r="47" spans="1:9" x14ac:dyDescent="0.25">
      <c r="A47" s="1"/>
      <c r="B47" s="125" t="s">
        <v>124</v>
      </c>
      <c r="C47" s="126"/>
      <c r="D47" s="126"/>
      <c r="E47" s="126"/>
      <c r="F47" s="127"/>
      <c r="G47" s="54">
        <f>(G41+G42-G43)*(1+'Fane 13. Nøgletal'!C15)</f>
        <v>34703788.629785717</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8" t="s">
        <v>142</v>
      </c>
      <c r="C51" s="119"/>
      <c r="D51" s="119"/>
      <c r="E51" s="119"/>
      <c r="F51" s="119"/>
      <c r="G51" s="131"/>
      <c r="H51" s="120"/>
      <c r="I51" s="1"/>
    </row>
    <row r="52" spans="1:9" x14ac:dyDescent="0.25">
      <c r="A52" s="1"/>
      <c r="B52" s="125" t="s">
        <v>143</v>
      </c>
      <c r="C52" s="126"/>
      <c r="D52" s="126"/>
      <c r="E52" s="126"/>
      <c r="F52" s="127"/>
      <c r="G52" s="54">
        <f>(G47-G48)*(1+'Fane 13. Nøgletal'!C15)</f>
        <v>35939243.50500609</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8" t="s">
        <v>176</v>
      </c>
      <c r="C56" s="119"/>
      <c r="D56" s="119"/>
      <c r="E56" s="119"/>
      <c r="F56" s="119"/>
      <c r="G56" s="131"/>
      <c r="H56" s="120"/>
      <c r="I56" s="1"/>
    </row>
    <row r="57" spans="1:9" x14ac:dyDescent="0.25">
      <c r="A57" s="1"/>
      <c r="B57" s="125" t="s">
        <v>177</v>
      </c>
      <c r="C57" s="126"/>
      <c r="D57" s="126"/>
      <c r="E57" s="126"/>
      <c r="F57" s="127"/>
      <c r="G57" s="54">
        <f>(G52-G53)*(1+'Fane 13. Nøgletal'!C15)</f>
        <v>37218680.573784307</v>
      </c>
      <c r="H57" s="14" t="s">
        <v>3</v>
      </c>
      <c r="I57" s="1"/>
    </row>
    <row r="58" spans="1:9" x14ac:dyDescent="0.25">
      <c r="A58" s="1"/>
      <c r="B58" s="125" t="s">
        <v>178</v>
      </c>
      <c r="C58" s="126"/>
      <c r="D58" s="126"/>
      <c r="E58" s="126"/>
      <c r="F58" s="127"/>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AZZgDri2zUYMYNVLEJdtOfiSOKulswAN/YL2DffOP06mknVGWBVItLWyq23MKH9Jf/q0+n5mFCSh7LaLpre+LA==" saltValue="lrS6noVLSr8uM+3dRwGor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9</v>
      </c>
      <c r="C8" s="119"/>
      <c r="D8" s="119"/>
      <c r="E8" s="119"/>
      <c r="F8" s="119"/>
      <c r="G8" s="119"/>
      <c r="H8" s="1"/>
    </row>
    <row r="9" spans="1:8" x14ac:dyDescent="0.25">
      <c r="A9" s="1"/>
      <c r="B9" s="72" t="s">
        <v>179</v>
      </c>
      <c r="C9" s="73"/>
      <c r="D9" s="73"/>
      <c r="E9" s="73"/>
      <c r="F9" s="74"/>
      <c r="G9" s="28">
        <v>1.1277917944868378E-2</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5" t="s">
        <v>201</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FBHWJhIqaf+8uSrO04WEKnP4kPkblOplyUEZgtRK/KldLJPGuZNeLMkD104qrLMJ3c3BS8yLEvtqQIqiLs/NSg==" saltValue="ZgoaVelW4DHpQQPZubA96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2022-12-01T09:10:49Z</dcterms:modified>
</cp:coreProperties>
</file>