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Dianalund Vandværk (V039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<sst xmlns="http://schemas.openxmlformats.org/spreadsheetml/2006/main" count="408" uniqueCount="157">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</sst>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3" fontId="15" fillId="4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4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4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4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4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4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4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4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4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4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4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4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4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4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45">
      <c r="A9" s="1"/>
      <c r="B9" s="38" t="s">
        <v>16</v>
      </c>
      <c r="C9" s="38" t="s">
        <v>11</v>
      </c>
      <c r="D9" s="39"/>
      <c r="E9" s="38" t="s">
        <v>31</v>
      </c>
      <c r="F9" s="45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6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65</v>
      </c>
      <c r="C8" s="82"/>
      <c r="D8" s="82"/>
      <c r="E8" s="82"/>
      <c r="F8" s="83"/>
      <c r="G8" s="1"/>
    </row>
    <row r="9" spans="1:7" x14ac:dyDescent="0.45">
      <c r="A9" s="1"/>
      <c r="B9" s="38" t="s">
        <v>16</v>
      </c>
      <c r="C9" s="38" t="s">
        <v>11</v>
      </c>
      <c r="D9" s="39"/>
      <c r="E9" s="38" t="s">
        <v>31</v>
      </c>
      <c r="F9" s="45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6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1" t="s">
        <v>66</v>
      </c>
      <c r="C15" s="82"/>
      <c r="D15" s="82"/>
      <c r="E15" s="82"/>
      <c r="F15" s="83"/>
      <c r="G15" s="1"/>
    </row>
    <row r="16" spans="1:7" x14ac:dyDescent="0.45">
      <c r="A16" s="1"/>
      <c r="B16" s="38" t="s">
        <v>16</v>
      </c>
      <c r="C16" s="38" t="s">
        <v>11</v>
      </c>
      <c r="D16" s="39"/>
      <c r="E16" s="38" t="s">
        <v>31</v>
      </c>
      <c r="F16" s="45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6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6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1" t="s">
        <v>67</v>
      </c>
      <c r="C22" s="82"/>
      <c r="D22" s="82"/>
      <c r="E22" s="82"/>
      <c r="F22" s="83"/>
      <c r="G22" s="1"/>
    </row>
    <row r="23" spans="1:7" x14ac:dyDescent="0.45">
      <c r="A23" s="1"/>
      <c r="B23" s="38" t="s">
        <v>16</v>
      </c>
      <c r="C23" s="38" t="s">
        <v>11</v>
      </c>
      <c r="D23" s="39"/>
      <c r="E23" s="38" t="s">
        <v>31</v>
      </c>
      <c r="F23" s="45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6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6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1" t="s">
        <v>114</v>
      </c>
      <c r="C29" s="82"/>
      <c r="D29" s="82"/>
      <c r="E29" s="82"/>
      <c r="F29" s="83"/>
      <c r="G29" s="1"/>
    </row>
    <row r="30" spans="1:7" x14ac:dyDescent="0.45">
      <c r="A30" s="1"/>
      <c r="B30" s="38" t="s">
        <v>16</v>
      </c>
      <c r="C30" s="38" t="s">
        <v>11</v>
      </c>
      <c r="D30" s="39"/>
      <c r="E30" s="38" t="s">
        <v>31</v>
      </c>
      <c r="F30" s="45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6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6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17</v>
      </c>
      <c r="C9" s="44" t="s">
        <v>11</v>
      </c>
      <c r="D9" s="45"/>
      <c r="E9" s="44" t="s">
        <v>31</v>
      </c>
      <c r="F9" s="45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58</v>
      </c>
      <c r="C14" s="82"/>
      <c r="D14" s="82"/>
      <c r="E14" s="82"/>
      <c r="F14" s="83"/>
      <c r="G14" s="1"/>
    </row>
    <row r="15" spans="1:7" x14ac:dyDescent="0.45">
      <c r="A15" s="1"/>
      <c r="B15" s="44" t="s">
        <v>17</v>
      </c>
      <c r="C15" s="44" t="s">
        <v>11</v>
      </c>
      <c r="D15" s="45"/>
      <c r="E15" s="44" t="s">
        <v>31</v>
      </c>
      <c r="F15" s="45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60</v>
      </c>
      <c r="C20" s="82"/>
      <c r="D20" s="82"/>
      <c r="E20" s="82"/>
      <c r="F20" s="83"/>
      <c r="G20" s="1"/>
    </row>
    <row r="21" spans="1:7" x14ac:dyDescent="0.45">
      <c r="A21" s="1"/>
      <c r="B21" s="44" t="s">
        <v>17</v>
      </c>
      <c r="C21" s="44" t="s">
        <v>11</v>
      </c>
      <c r="D21" s="45"/>
      <c r="E21" s="44" t="s">
        <v>31</v>
      </c>
      <c r="F21" s="45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109</v>
      </c>
      <c r="C26" s="82"/>
      <c r="D26" s="82"/>
      <c r="E26" s="82"/>
      <c r="F26" s="83"/>
      <c r="G26" s="1"/>
    </row>
    <row r="27" spans="1:7" x14ac:dyDescent="0.45">
      <c r="A27" s="1"/>
      <c r="B27" s="44" t="s">
        <v>17</v>
      </c>
      <c r="C27" s="44" t="s">
        <v>11</v>
      </c>
      <c r="D27" s="45"/>
      <c r="E27" s="44" t="s">
        <v>31</v>
      </c>
      <c r="F27" s="45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9" t="s">
        <v>144</v>
      </c>
      <c r="C3" s="79"/>
      <c r="D3" s="1"/>
    </row>
    <row r="4" spans="1:4" ht="25.5" customHeight="1" x14ac:dyDescent="0.45">
      <c r="A4" s="1"/>
      <c r="B4" s="79"/>
      <c r="C4" s="7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47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6"/>
      <c r="C14" s="4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72</v>
      </c>
      <c r="C17" s="47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3"/>
      <c r="C19" s="94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x14ac:dyDescent="0.45">
      <c r="A9" s="1"/>
      <c r="B9" s="36" t="s">
        <v>26</v>
      </c>
      <c r="C9" s="36"/>
      <c r="D9" s="36"/>
      <c r="E9" s="7">
        <f>'Fane 3. Omkostninger i ØR2020'!E16</f>
        <v>2721786.3990501761</v>
      </c>
      <c r="F9" s="36" t="s">
        <v>3</v>
      </c>
      <c r="G9" s="1"/>
    </row>
    <row r="10" spans="1:7" ht="17.100000000000001" customHeight="1" x14ac:dyDescent="0.45">
      <c r="A10" s="1"/>
      <c r="B10" s="36" t="s">
        <v>120</v>
      </c>
      <c r="C10" s="36"/>
      <c r="D10" s="36"/>
      <c r="E10" s="7">
        <v>62466.561798438939</v>
      </c>
      <c r="F10" s="36" t="s">
        <v>3</v>
      </c>
      <c r="G10" s="1"/>
    </row>
    <row r="11" spans="1:7" ht="17.100000000000001" customHeight="1" x14ac:dyDescent="0.45">
      <c r="A11" s="1"/>
      <c r="B11" s="27" t="s">
        <v>80</v>
      </c>
      <c r="C11" s="36"/>
      <c r="D11" s="36"/>
      <c r="E11" s="7">
        <f>'Fane 7.1. Varige tillæg'!C12+'Fane 7.1. Varige tillæg'!E12</f>
        <v>0</v>
      </c>
      <c r="F11" s="36" t="s">
        <v>3</v>
      </c>
      <c r="G11" s="1"/>
    </row>
    <row r="12" spans="1:7" ht="17.100000000000001" customHeight="1" x14ac:dyDescent="0.45">
      <c r="A12" s="1"/>
      <c r="B12" s="27" t="s">
        <v>82</v>
      </c>
      <c r="C12" s="36"/>
      <c r="D12" s="36"/>
      <c r="E12" s="8">
        <f>-('Fane 9. Bortfald'!C12+'Fane 9. Bortfald'!E12)</f>
        <v>0</v>
      </c>
      <c r="F12" s="36" t="s">
        <v>3</v>
      </c>
      <c r="G12" s="1"/>
    </row>
    <row r="13" spans="1:7" ht="17.100000000000001" customHeight="1" x14ac:dyDescent="0.45">
      <c r="A13" s="1"/>
      <c r="B13" s="27" t="s">
        <v>89</v>
      </c>
      <c r="C13" s="36"/>
      <c r="D13" s="36"/>
      <c r="E13" s="8">
        <f>'Fane 8. Tilknyttet virksomhed'!C12+'Fane 8. Tilknyttet virksomhed'!E12</f>
        <v>0</v>
      </c>
      <c r="F13" s="36" t="s">
        <v>3</v>
      </c>
      <c r="G13" s="1"/>
    </row>
    <row r="14" spans="1:7" ht="17.100000000000001" customHeight="1" x14ac:dyDescent="0.45">
      <c r="A14" s="1"/>
      <c r="B14" s="27" t="s">
        <v>18</v>
      </c>
      <c r="C14" s="36"/>
      <c r="D14" s="36"/>
      <c r="E14" s="8">
        <f>SUM(E9:E13)*'Fane 10. Nøgletal'!C13</f>
        <v>33967.886122353106</v>
      </c>
      <c r="F14" s="36" t="s">
        <v>3</v>
      </c>
      <c r="G14" s="1"/>
    </row>
    <row r="15" spans="1:7" ht="17.100000000000001" customHeight="1" x14ac:dyDescent="0.45">
      <c r="A15" s="1"/>
      <c r="B15" s="27" t="s">
        <v>72</v>
      </c>
      <c r="C15" s="36"/>
      <c r="D15" s="36"/>
      <c r="E15" s="8">
        <f>-SUM(E9:E14)*'Fane 10. Nøgletal'!C18</f>
        <v>-47909.754398506462</v>
      </c>
      <c r="F15" s="36" t="s">
        <v>3</v>
      </c>
      <c r="G15" s="1"/>
    </row>
    <row r="16" spans="1:7" ht="15" customHeight="1" x14ac:dyDescent="0.45">
      <c r="A16" s="1"/>
      <c r="B16" s="43" t="s">
        <v>20</v>
      </c>
      <c r="C16" s="40"/>
      <c r="D16" s="40"/>
      <c r="E16" s="9">
        <f>SUM(E9:E15)</f>
        <v>2770311.0925724613</v>
      </c>
      <c r="F16" s="42" t="s">
        <v>3</v>
      </c>
      <c r="G16" s="1"/>
    </row>
    <row r="17" spans="1:7" ht="15" customHeight="1" x14ac:dyDescent="0.45">
      <c r="A17" s="1"/>
      <c r="B17" s="41" t="s">
        <v>12</v>
      </c>
      <c r="C17" s="41"/>
      <c r="D17" s="41"/>
      <c r="E17" s="41"/>
      <c r="F17" s="41"/>
      <c r="G17" s="1"/>
    </row>
    <row r="18" spans="1:7" ht="15" customHeight="1" x14ac:dyDescent="0.45">
      <c r="A18" s="1"/>
      <c r="B18" s="42" t="s">
        <v>12</v>
      </c>
      <c r="C18" s="42"/>
      <c r="D18" s="42"/>
      <c r="E18" s="9">
        <f>'Fane 4. Ikke-påvirkelige omk.'!C13</f>
        <v>1944685.9077156</v>
      </c>
      <c r="F18" s="42" t="s">
        <v>3</v>
      </c>
      <c r="G18" s="1"/>
    </row>
    <row r="19" spans="1:7" ht="15" customHeight="1" x14ac:dyDescent="0.45">
      <c r="A19" s="1"/>
      <c r="B19" s="41" t="s">
        <v>52</v>
      </c>
      <c r="C19" s="41"/>
      <c r="D19" s="41"/>
      <c r="E19" s="41"/>
      <c r="F19" s="41"/>
      <c r="G19" s="1"/>
    </row>
    <row r="20" spans="1:7" ht="15" customHeight="1" x14ac:dyDescent="0.45">
      <c r="A20" s="1"/>
      <c r="B20" s="27" t="s">
        <v>49</v>
      </c>
      <c r="C20" s="36"/>
      <c r="D20" s="36"/>
      <c r="E20" s="8">
        <f>'Fane 7.2. Engangstillæg'!C13</f>
        <v>0</v>
      </c>
      <c r="F20" s="36" t="s">
        <v>3</v>
      </c>
      <c r="G20" s="1"/>
    </row>
    <row r="21" spans="1:7" x14ac:dyDescent="0.45">
      <c r="A21" s="1"/>
      <c r="B21" s="27" t="s">
        <v>50</v>
      </c>
      <c r="C21" s="36"/>
      <c r="D21" s="36"/>
      <c r="E21" s="8">
        <f>'Fane 7.2. Engangstillæg'!E13</f>
        <v>0</v>
      </c>
      <c r="F21" s="36" t="s">
        <v>3</v>
      </c>
      <c r="G21" s="1"/>
    </row>
    <row r="22" spans="1:7" ht="15" customHeight="1" x14ac:dyDescent="0.45">
      <c r="A22" s="1"/>
      <c r="B22" s="43" t="s">
        <v>53</v>
      </c>
      <c r="C22" s="40"/>
      <c r="D22" s="40"/>
      <c r="E22" s="9">
        <f>SUM(E20:E21)</f>
        <v>0</v>
      </c>
      <c r="F22" s="42" t="s">
        <v>3</v>
      </c>
      <c r="G22" s="1"/>
    </row>
    <row r="23" spans="1:7" x14ac:dyDescent="0.45">
      <c r="A23" s="1"/>
      <c r="B23" s="41" t="s">
        <v>124</v>
      </c>
      <c r="C23" s="41"/>
      <c r="D23" s="41"/>
      <c r="E23" s="41"/>
      <c r="F23" s="41"/>
      <c r="G23" s="1"/>
    </row>
    <row r="24" spans="1:7" x14ac:dyDescent="0.45">
      <c r="A24" s="1"/>
      <c r="B24" s="43" t="s">
        <v>36</v>
      </c>
      <c r="C24" s="40"/>
      <c r="D24" s="40"/>
      <c r="E24" s="9">
        <f>'Fane 5. Kontrol af ØR2019'!E42</f>
        <v>-914739.86891314504</v>
      </c>
      <c r="F24" s="42" t="s">
        <v>3</v>
      </c>
      <c r="G24" s="1"/>
    </row>
    <row r="25" spans="1:7" x14ac:dyDescent="0.45">
      <c r="A25" s="1"/>
      <c r="B25" s="43" t="s">
        <v>125</v>
      </c>
      <c r="C25" s="40"/>
      <c r="D25" s="40"/>
      <c r="E25" s="9">
        <f>'Fane 5. Kontrol af ØR2019'!E43</f>
        <v>0</v>
      </c>
      <c r="F25" s="42" t="s">
        <v>3</v>
      </c>
      <c r="G25" s="1"/>
    </row>
    <row r="26" spans="1:7" x14ac:dyDescent="0.45">
      <c r="A26" s="1"/>
      <c r="B26" s="41" t="s">
        <v>28</v>
      </c>
      <c r="C26" s="41"/>
      <c r="D26" s="41"/>
      <c r="E26" s="10">
        <f>SUM(E16,E18,E22,E24,E25)</f>
        <v>3800257.131374917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/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13</v>
      </c>
      <c r="C8" s="41"/>
      <c r="D8" s="41"/>
      <c r="E8" s="41"/>
      <c r="F8" s="41"/>
      <c r="G8" s="1"/>
    </row>
    <row r="9" spans="1:7" ht="15" customHeight="1" x14ac:dyDescent="0.45">
      <c r="A9" s="1"/>
      <c r="B9" s="36" t="s">
        <v>27</v>
      </c>
      <c r="C9" s="36"/>
      <c r="D9" s="36"/>
      <c r="E9" s="7">
        <f>'Fane 2.1. Økonomisk ramme 2021'!E16</f>
        <v>2770311.0925724613</v>
      </c>
      <c r="F9" s="36" t="s">
        <v>3</v>
      </c>
      <c r="G9" s="1"/>
    </row>
    <row r="10" spans="1:7" ht="15" customHeight="1" x14ac:dyDescent="0.45">
      <c r="A10" s="1"/>
      <c r="B10" s="27" t="s">
        <v>82</v>
      </c>
      <c r="C10" s="36"/>
      <c r="D10" s="36"/>
      <c r="E10" s="7">
        <f>-('Fane 9. Bortfald'!C18+'Fane 9. Bortfald'!E18)</f>
        <v>0</v>
      </c>
      <c r="F10" s="36" t="s">
        <v>3</v>
      </c>
      <c r="G10" s="1"/>
    </row>
    <row r="11" spans="1:7" ht="15" customHeight="1" x14ac:dyDescent="0.45">
      <c r="A11" s="1"/>
      <c r="B11" s="37" t="s">
        <v>18</v>
      </c>
      <c r="C11" s="36"/>
      <c r="D11" s="36"/>
      <c r="E11" s="8">
        <f>SUM(E9:E10)*'Fane 10. Nøgletal'!C13</f>
        <v>33797.795329384033</v>
      </c>
      <c r="F11" s="36" t="s">
        <v>3</v>
      </c>
      <c r="G11" s="1"/>
    </row>
    <row r="12" spans="1:7" ht="15" customHeight="1" x14ac:dyDescent="0.45">
      <c r="A12" s="1"/>
      <c r="B12" s="37" t="s">
        <v>72</v>
      </c>
      <c r="C12" s="36"/>
      <c r="D12" s="36"/>
      <c r="E12" s="8">
        <f>-SUM(E9:E11)*'Fane 10. Nøgletal'!C18</f>
        <v>-47669.851094331374</v>
      </c>
      <c r="F12" s="36" t="s">
        <v>3</v>
      </c>
      <c r="G12" s="1"/>
    </row>
    <row r="13" spans="1:7" ht="15" customHeight="1" x14ac:dyDescent="0.45">
      <c r="A13" s="1"/>
      <c r="B13" s="40" t="s">
        <v>20</v>
      </c>
      <c r="C13" s="40"/>
      <c r="D13" s="40"/>
      <c r="E13" s="9">
        <f>SUM(E9:E12)</f>
        <v>2756439.0368075138</v>
      </c>
      <c r="F13" s="42" t="s">
        <v>3</v>
      </c>
      <c r="G13" s="1"/>
    </row>
    <row r="14" spans="1:7" x14ac:dyDescent="0.45">
      <c r="A14" s="1"/>
      <c r="B14" s="41" t="s">
        <v>12</v>
      </c>
      <c r="C14" s="41"/>
      <c r="D14" s="41"/>
      <c r="E14" s="41"/>
      <c r="F14" s="41"/>
      <c r="G14" s="1"/>
    </row>
    <row r="15" spans="1:7" ht="15" customHeight="1" x14ac:dyDescent="0.45">
      <c r="A15" s="1"/>
      <c r="B15" s="42" t="s">
        <v>12</v>
      </c>
      <c r="C15" s="42"/>
      <c r="D15" s="42"/>
      <c r="E15" s="9">
        <f>'Fane 4. Ikke-påvirkelige omk.'!C13*(1+'Fane 10. Nøgletal'!C13)</f>
        <v>1968411.0757897303</v>
      </c>
      <c r="F15" s="42" t="s">
        <v>3</v>
      </c>
      <c r="G15" s="1"/>
    </row>
    <row r="16" spans="1:7" ht="15" customHeight="1" x14ac:dyDescent="0.45">
      <c r="A16" s="1"/>
      <c r="B16" s="41" t="s">
        <v>52</v>
      </c>
      <c r="C16" s="41"/>
      <c r="D16" s="41"/>
      <c r="E16" s="41"/>
      <c r="F16" s="41"/>
      <c r="G16" s="1"/>
    </row>
    <row r="17" spans="1:7" ht="15" customHeight="1" x14ac:dyDescent="0.45">
      <c r="A17" s="1"/>
      <c r="B17" s="27" t="s">
        <v>49</v>
      </c>
      <c r="C17" s="36"/>
      <c r="D17" s="36"/>
      <c r="E17" s="8">
        <f>'Fane 7.2. Engangstillæg'!C20</f>
        <v>0</v>
      </c>
      <c r="F17" s="36" t="s">
        <v>3</v>
      </c>
      <c r="G17" s="1"/>
    </row>
    <row r="18" spans="1:7" ht="15" customHeight="1" x14ac:dyDescent="0.45">
      <c r="A18" s="1"/>
      <c r="B18" s="27" t="s">
        <v>50</v>
      </c>
      <c r="C18" s="36"/>
      <c r="D18" s="36"/>
      <c r="E18" s="8">
        <f>'Fane 7.2. Engangstillæg'!E20</f>
        <v>0</v>
      </c>
      <c r="F18" s="36" t="s">
        <v>3</v>
      </c>
      <c r="G18" s="1"/>
    </row>
    <row r="19" spans="1:7" ht="15" customHeight="1" x14ac:dyDescent="0.45">
      <c r="A19" s="1"/>
      <c r="B19" s="43" t="s">
        <v>53</v>
      </c>
      <c r="C19" s="40"/>
      <c r="D19" s="40"/>
      <c r="E19" s="9">
        <f>SUM(E17:E18)</f>
        <v>0</v>
      </c>
      <c r="F19" s="42" t="s">
        <v>3</v>
      </c>
      <c r="G19" s="1"/>
    </row>
    <row r="20" spans="1:7" x14ac:dyDescent="0.45">
      <c r="A20" s="1"/>
      <c r="B20" s="41" t="s">
        <v>124</v>
      </c>
      <c r="C20" s="41"/>
      <c r="D20" s="41"/>
      <c r="E20" s="41"/>
      <c r="F20" s="41"/>
      <c r="G20" s="1"/>
    </row>
    <row r="21" spans="1:7" ht="15" customHeight="1" x14ac:dyDescent="0.45">
      <c r="A21" s="1"/>
      <c r="B21" s="42" t="s">
        <v>36</v>
      </c>
      <c r="C21" s="42"/>
      <c r="D21" s="42"/>
      <c r="E21" s="9">
        <f>'Fane 5. Kontrol af ØR2019'!E42</f>
        <v>-914739.86891314504</v>
      </c>
      <c r="F21" s="42" t="s">
        <v>3</v>
      </c>
      <c r="G21" s="1"/>
    </row>
    <row r="22" spans="1:7" x14ac:dyDescent="0.45">
      <c r="A22" s="1"/>
      <c r="B22" s="43" t="s">
        <v>125</v>
      </c>
      <c r="C22" s="42"/>
      <c r="D22" s="42"/>
      <c r="E22" s="9">
        <f>'Fane 5. Kontrol af ØR2019'!E43</f>
        <v>0</v>
      </c>
      <c r="F22" s="42" t="s">
        <v>3</v>
      </c>
      <c r="G22" s="1"/>
    </row>
    <row r="23" spans="1:7" x14ac:dyDescent="0.45">
      <c r="A23" s="1"/>
      <c r="B23" s="41" t="s">
        <v>29</v>
      </c>
      <c r="C23" s="41"/>
      <c r="D23" s="41"/>
      <c r="E23" s="10">
        <f>SUM(E13,E15,E19,E21,E22)</f>
        <v>3810110.2436840991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6" t="s">
        <v>92</v>
      </c>
      <c r="C8" s="36"/>
      <c r="D8" s="36"/>
      <c r="E8" s="7">
        <f>'Fane 2.2. Økonomisk ramme 2022'!E13</f>
        <v>2756439.0368075138</v>
      </c>
      <c r="F8" s="36" t="s">
        <v>3</v>
      </c>
      <c r="G8" s="1"/>
    </row>
    <row r="9" spans="1:7" ht="15" customHeight="1" x14ac:dyDescent="0.45">
      <c r="A9" s="1"/>
      <c r="B9" s="36" t="s">
        <v>82</v>
      </c>
      <c r="C9" s="36"/>
      <c r="D9" s="36"/>
      <c r="E9" s="7">
        <f>-('Fane 9. Bortfald'!C24+'Fane 9. Bortfald'!E24)</f>
        <v>0</v>
      </c>
      <c r="F9" s="36" t="s">
        <v>3</v>
      </c>
      <c r="G9" s="1"/>
    </row>
    <row r="10" spans="1:7" ht="15" customHeight="1" x14ac:dyDescent="0.45">
      <c r="A10" s="1"/>
      <c r="B10" s="37" t="s">
        <v>18</v>
      </c>
      <c r="C10" s="36"/>
      <c r="D10" s="36"/>
      <c r="E10" s="8">
        <f>SUM(E8:E9)*'Fane 10. Nøgletal'!C13</f>
        <v>33628.556249051668</v>
      </c>
      <c r="F10" s="36" t="s">
        <v>3</v>
      </c>
      <c r="G10" s="1"/>
    </row>
    <row r="11" spans="1:7" ht="15" customHeight="1" x14ac:dyDescent="0.45">
      <c r="A11" s="1"/>
      <c r="B11" s="37" t="s">
        <v>72</v>
      </c>
      <c r="C11" s="36"/>
      <c r="D11" s="36"/>
      <c r="E11" s="8">
        <f>-SUM(E8:E10)*'Fane 10. Nøgletal'!C18</f>
        <v>-47431.149081961616</v>
      </c>
      <c r="F11" s="36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2742636.4439746039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omk.'!C13*(1+'Fane 10. Nøgletal'!C13)^2</f>
        <v>1992425.690914365</v>
      </c>
      <c r="F14" s="42" t="s">
        <v>3</v>
      </c>
      <c r="G14" s="1"/>
    </row>
    <row r="15" spans="1:7" ht="15" customHeight="1" x14ac:dyDescent="0.45">
      <c r="A15" s="1"/>
      <c r="B15" s="41" t="s">
        <v>52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7" t="s">
        <v>49</v>
      </c>
      <c r="C16" s="36"/>
      <c r="D16" s="36"/>
      <c r="E16" s="8">
        <f>'Fane 7.2. Engangstillæg'!C27</f>
        <v>0</v>
      </c>
      <c r="F16" s="36" t="s">
        <v>3</v>
      </c>
      <c r="G16" s="1"/>
    </row>
    <row r="17" spans="1:7" ht="15" customHeight="1" x14ac:dyDescent="0.45">
      <c r="A17" s="1"/>
      <c r="B17" s="27" t="s">
        <v>50</v>
      </c>
      <c r="C17" s="36"/>
      <c r="D17" s="36"/>
      <c r="E17" s="8">
        <f>'Fane 7.2. Engangstillæg'!E27</f>
        <v>0</v>
      </c>
      <c r="F17" s="36" t="s">
        <v>3</v>
      </c>
      <c r="G17" s="1"/>
    </row>
    <row r="18" spans="1:7" ht="15" customHeight="1" x14ac:dyDescent="0.45">
      <c r="A18" s="1"/>
      <c r="B18" s="43" t="s">
        <v>53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57</v>
      </c>
      <c r="C19" s="41"/>
      <c r="D19" s="41"/>
      <c r="E19" s="10">
        <f>SUM(E12,E14,E18)</f>
        <v>4735062.1348889694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45">
      <c r="A4" s="1"/>
      <c r="B4" s="63"/>
      <c r="C4" s="63"/>
      <c r="D4" s="63"/>
      <c r="E4" s="63"/>
      <c r="F4" s="63"/>
      <c r="G4" s="1"/>
    </row>
    <row r="5" spans="1:7" x14ac:dyDescent="0.45">
      <c r="A5" s="1"/>
      <c r="B5" s="64" t="s">
        <v>21</v>
      </c>
      <c r="C5" s="64"/>
      <c r="D5" s="64"/>
      <c r="E5" s="64"/>
      <c r="F5" s="6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1" t="s">
        <v>13</v>
      </c>
      <c r="C7" s="41"/>
      <c r="D7" s="41"/>
      <c r="E7" s="41"/>
      <c r="F7" s="41"/>
      <c r="G7" s="1"/>
    </row>
    <row r="8" spans="1:7" ht="15" customHeight="1" x14ac:dyDescent="0.45">
      <c r="A8" s="1"/>
      <c r="B8" s="36" t="s">
        <v>94</v>
      </c>
      <c r="C8" s="36"/>
      <c r="D8" s="36"/>
      <c r="E8" s="7">
        <f>'Fane 2.3. Økonomisk ramme 2023'!E12</f>
        <v>2742636.4439746039</v>
      </c>
      <c r="F8" s="36" t="s">
        <v>3</v>
      </c>
      <c r="G8" s="1"/>
    </row>
    <row r="9" spans="1:7" ht="15" customHeight="1" x14ac:dyDescent="0.45">
      <c r="A9" s="1"/>
      <c r="B9" s="36" t="s">
        <v>82</v>
      </c>
      <c r="C9" s="36"/>
      <c r="D9" s="36"/>
      <c r="E9" s="7">
        <f>-('Fane 9. Bortfald'!C30+'Fane 9. Bortfald'!E30)</f>
        <v>0</v>
      </c>
      <c r="F9" s="36" t="s">
        <v>3</v>
      </c>
      <c r="G9" s="1"/>
    </row>
    <row r="10" spans="1:7" ht="15" customHeight="1" x14ac:dyDescent="0.45">
      <c r="A10" s="1"/>
      <c r="B10" s="37" t="s">
        <v>18</v>
      </c>
      <c r="C10" s="36"/>
      <c r="D10" s="36"/>
      <c r="E10" s="8">
        <f>SUM(E8:E9)*'Fane 10. Nøgletal'!C13</f>
        <v>33460.164616490169</v>
      </c>
      <c r="F10" s="36" t="s">
        <v>3</v>
      </c>
      <c r="G10" s="1"/>
    </row>
    <row r="11" spans="1:7" ht="15" customHeight="1" x14ac:dyDescent="0.45">
      <c r="A11" s="1"/>
      <c r="B11" s="37" t="s">
        <v>72</v>
      </c>
      <c r="C11" s="36"/>
      <c r="D11" s="36"/>
      <c r="E11" s="8">
        <f>-SUM(E8:E10)*'Fane 10. Nøgletal'!C18</f>
        <v>-47193.642346048604</v>
      </c>
      <c r="F11" s="36" t="s">
        <v>3</v>
      </c>
      <c r="G11" s="1"/>
    </row>
    <row r="12" spans="1:7" x14ac:dyDescent="0.45">
      <c r="A12" s="1"/>
      <c r="B12" s="40" t="s">
        <v>20</v>
      </c>
      <c r="C12" s="40"/>
      <c r="D12" s="40"/>
      <c r="E12" s="9">
        <f>SUM(E8:E11)</f>
        <v>2728902.9662450454</v>
      </c>
      <c r="F12" s="42" t="s">
        <v>3</v>
      </c>
      <c r="G12" s="1"/>
    </row>
    <row r="13" spans="1:7" x14ac:dyDescent="0.45">
      <c r="A13" s="1"/>
      <c r="B13" s="41" t="s">
        <v>12</v>
      </c>
      <c r="C13" s="41"/>
      <c r="D13" s="41"/>
      <c r="E13" s="41"/>
      <c r="F13" s="41"/>
      <c r="G13" s="1"/>
    </row>
    <row r="14" spans="1:7" ht="15" customHeight="1" x14ac:dyDescent="0.45">
      <c r="A14" s="1"/>
      <c r="B14" s="42" t="s">
        <v>12</v>
      </c>
      <c r="C14" s="42"/>
      <c r="D14" s="42"/>
      <c r="E14" s="9">
        <f>'Fane 4. Ikke-påvirkelige omk.'!C13*(1+'Fane 10. Nøgletal'!C13)^3</f>
        <v>2016733.2843435204</v>
      </c>
      <c r="F14" s="42" t="s">
        <v>3</v>
      </c>
      <c r="G14" s="1"/>
    </row>
    <row r="15" spans="1:7" ht="15" customHeight="1" x14ac:dyDescent="0.45">
      <c r="A15" s="1"/>
      <c r="B15" s="41" t="s">
        <v>52</v>
      </c>
      <c r="C15" s="41"/>
      <c r="D15" s="41"/>
      <c r="E15" s="41"/>
      <c r="F15" s="41"/>
      <c r="G15" s="1"/>
    </row>
    <row r="16" spans="1:7" ht="15" customHeight="1" x14ac:dyDescent="0.45">
      <c r="A16" s="1"/>
      <c r="B16" s="27" t="s">
        <v>49</v>
      </c>
      <c r="C16" s="36"/>
      <c r="D16" s="36"/>
      <c r="E16" s="8">
        <f>'Fane 7.2. Engangstillæg'!C34</f>
        <v>0</v>
      </c>
      <c r="F16" s="36" t="s">
        <v>3</v>
      </c>
      <c r="G16" s="1"/>
    </row>
    <row r="17" spans="1:7" ht="15" customHeight="1" x14ac:dyDescent="0.45">
      <c r="A17" s="1"/>
      <c r="B17" s="27" t="s">
        <v>50</v>
      </c>
      <c r="C17" s="36"/>
      <c r="D17" s="36"/>
      <c r="E17" s="8">
        <f>'Fane 7.2. Engangstillæg'!E34</f>
        <v>0</v>
      </c>
      <c r="F17" s="36" t="s">
        <v>3</v>
      </c>
      <c r="G17" s="1"/>
    </row>
    <row r="18" spans="1:7" ht="15" customHeight="1" x14ac:dyDescent="0.45">
      <c r="A18" s="1"/>
      <c r="B18" s="43" t="s">
        <v>53</v>
      </c>
      <c r="C18" s="40"/>
      <c r="D18" s="40"/>
      <c r="E18" s="9">
        <f>SUM(E16:E17)</f>
        <v>0</v>
      </c>
      <c r="F18" s="42" t="s">
        <v>3</v>
      </c>
      <c r="G18" s="1"/>
    </row>
    <row r="19" spans="1:7" ht="15" customHeight="1" x14ac:dyDescent="0.45">
      <c r="A19" s="1"/>
      <c r="B19" s="41" t="s">
        <v>95</v>
      </c>
      <c r="C19" s="41"/>
      <c r="D19" s="41"/>
      <c r="E19" s="10">
        <f>SUM(E12,E14,E18)</f>
        <v>4745636.2505885661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1" t="s">
        <v>97</v>
      </c>
      <c r="C8" s="41"/>
      <c r="D8" s="41"/>
      <c r="E8" s="41"/>
      <c r="F8" s="41"/>
      <c r="G8" s="1"/>
    </row>
    <row r="9" spans="1:7" x14ac:dyDescent="0.45">
      <c r="A9" s="1"/>
      <c r="B9" s="80" t="s">
        <v>24</v>
      </c>
      <c r="C9" s="80"/>
      <c r="D9" s="80"/>
      <c r="E9" s="7">
        <v>2734133.4723981791</v>
      </c>
      <c r="F9" s="36" t="s">
        <v>3</v>
      </c>
      <c r="G9" s="1"/>
    </row>
    <row r="10" spans="1:7" x14ac:dyDescent="0.45">
      <c r="A10" s="1"/>
      <c r="B10" s="68" t="s">
        <v>149</v>
      </c>
      <c r="C10" s="68"/>
      <c r="D10" s="68"/>
      <c r="E10" s="7">
        <v>0</v>
      </c>
      <c r="F10" s="36" t="s">
        <v>3</v>
      </c>
      <c r="G10" s="1"/>
    </row>
    <row r="11" spans="1:7" x14ac:dyDescent="0.45">
      <c r="A11" s="1"/>
      <c r="B11" s="68" t="s">
        <v>150</v>
      </c>
      <c r="C11" s="68"/>
      <c r="D11" s="68"/>
      <c r="E11" s="7">
        <v>0</v>
      </c>
      <c r="F11" s="36" t="s">
        <v>3</v>
      </c>
      <c r="G11" s="1"/>
    </row>
    <row r="12" spans="1:7" x14ac:dyDescent="0.45">
      <c r="A12" s="1"/>
      <c r="B12" s="68" t="s">
        <v>80</v>
      </c>
      <c r="C12" s="68"/>
      <c r="D12" s="68"/>
      <c r="E12" s="7">
        <v>0</v>
      </c>
      <c r="F12" s="36" t="s">
        <v>3</v>
      </c>
      <c r="G12" s="1"/>
    </row>
    <row r="13" spans="1:7" x14ac:dyDescent="0.45">
      <c r="A13" s="1"/>
      <c r="B13" s="68" t="s">
        <v>81</v>
      </c>
      <c r="C13" s="68"/>
      <c r="D13" s="68"/>
      <c r="E13" s="8">
        <v>0</v>
      </c>
      <c r="F13" s="36" t="s">
        <v>3</v>
      </c>
      <c r="G13" s="1"/>
    </row>
    <row r="14" spans="1:7" x14ac:dyDescent="0.4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34723.495099456872</v>
      </c>
      <c r="F14" s="36" t="s">
        <v>3</v>
      </c>
      <c r="G14" s="1"/>
    </row>
    <row r="15" spans="1:7" x14ac:dyDescent="0.45">
      <c r="A15" s="1"/>
      <c r="B15" s="68" t="s">
        <v>72</v>
      </c>
      <c r="C15" s="68"/>
      <c r="D15" s="68"/>
      <c r="E15" s="8">
        <f>-SUM(E9:E9,E12:E14)*'Fane 10. Nøgletal'!C18</f>
        <v>-47070.568447459817</v>
      </c>
      <c r="F15" s="36" t="s">
        <v>3</v>
      </c>
      <c r="G15" s="1"/>
    </row>
    <row r="16" spans="1:7" x14ac:dyDescent="0.45">
      <c r="A16" s="1"/>
      <c r="B16" s="70" t="s">
        <v>20</v>
      </c>
      <c r="C16" s="70"/>
      <c r="D16" s="70"/>
      <c r="E16" s="9">
        <f>SUM(E9,E12:E15)</f>
        <v>2721786.3990501761</v>
      </c>
      <c r="F16" s="42" t="s">
        <v>3</v>
      </c>
      <c r="G16" s="1"/>
    </row>
    <row r="17" spans="1:7" x14ac:dyDescent="0.45">
      <c r="A17" s="1"/>
      <c r="B17" s="71" t="s">
        <v>12</v>
      </c>
      <c r="C17" s="71"/>
      <c r="D17" s="71"/>
      <c r="E17" s="41"/>
      <c r="F17" s="41"/>
      <c r="G17" s="1"/>
    </row>
    <row r="18" spans="1:7" x14ac:dyDescent="0.45">
      <c r="A18" s="1"/>
      <c r="B18" s="72" t="s">
        <v>12</v>
      </c>
      <c r="C18" s="72"/>
      <c r="D18" s="72"/>
      <c r="E18" s="9">
        <v>2029364.8131339001</v>
      </c>
      <c r="F18" s="42" t="s">
        <v>3</v>
      </c>
      <c r="G18" s="1"/>
    </row>
    <row r="19" spans="1:7" x14ac:dyDescent="0.45">
      <c r="A19" s="1"/>
      <c r="B19" s="41" t="s">
        <v>52</v>
      </c>
      <c r="C19" s="41"/>
      <c r="D19" s="41"/>
      <c r="E19" s="41"/>
      <c r="F19" s="41"/>
      <c r="G19" s="1"/>
    </row>
    <row r="20" spans="1:7" ht="15.4" customHeight="1" x14ac:dyDescent="0.45">
      <c r="A20" s="1"/>
      <c r="B20" s="73" t="s">
        <v>49</v>
      </c>
      <c r="C20" s="74"/>
      <c r="D20" s="75"/>
      <c r="E20" s="31">
        <v>0</v>
      </c>
      <c r="F20" s="31" t="s">
        <v>3</v>
      </c>
      <c r="G20" s="1"/>
    </row>
    <row r="21" spans="1:7" ht="15.75" customHeight="1" x14ac:dyDescent="0.45">
      <c r="A21" s="1"/>
      <c r="B21" s="73" t="s">
        <v>50</v>
      </c>
      <c r="C21" s="74"/>
      <c r="D21" s="75"/>
      <c r="E21" s="31">
        <v>0</v>
      </c>
      <c r="F21" s="31" t="s">
        <v>3</v>
      </c>
      <c r="G21" s="1"/>
    </row>
    <row r="22" spans="1:7" x14ac:dyDescent="0.45">
      <c r="A22" s="1"/>
      <c r="B22" s="76" t="s">
        <v>53</v>
      </c>
      <c r="C22" s="77"/>
      <c r="D22" s="78"/>
      <c r="E22" s="32">
        <v>0</v>
      </c>
      <c r="F22" s="9" t="s">
        <v>3</v>
      </c>
      <c r="G22" s="1"/>
    </row>
    <row r="23" spans="1:7" x14ac:dyDescent="0.45">
      <c r="A23" s="1"/>
      <c r="B23" s="41" t="s">
        <v>145</v>
      </c>
      <c r="C23" s="41"/>
      <c r="D23" s="41"/>
      <c r="E23" s="41"/>
      <c r="F23" s="41"/>
      <c r="G23" s="1"/>
    </row>
    <row r="24" spans="1:7" ht="15.75" customHeight="1" x14ac:dyDescent="0.45">
      <c r="A24" s="1"/>
      <c r="B24" s="65" t="s">
        <v>146</v>
      </c>
      <c r="C24" s="66"/>
      <c r="D24" s="67"/>
      <c r="E24" s="9">
        <v>-535337</v>
      </c>
      <c r="F24" s="9" t="s">
        <v>3</v>
      </c>
      <c r="G24" s="1"/>
    </row>
    <row r="25" spans="1:7" x14ac:dyDescent="0.45">
      <c r="A25" s="1"/>
      <c r="B25" s="41" t="s">
        <v>147</v>
      </c>
      <c r="C25" s="41"/>
      <c r="D25" s="41"/>
      <c r="E25" s="41"/>
      <c r="F25" s="41"/>
      <c r="G25" s="1"/>
    </row>
    <row r="26" spans="1:7" ht="15.4" customHeight="1" x14ac:dyDescent="0.45">
      <c r="A26" s="1"/>
      <c r="B26" s="65" t="s">
        <v>148</v>
      </c>
      <c r="C26" s="66"/>
      <c r="D26" s="67"/>
      <c r="E26" s="9">
        <v>0</v>
      </c>
      <c r="F26" s="42" t="s">
        <v>3</v>
      </c>
      <c r="G26" s="1"/>
    </row>
    <row r="27" spans="1:7" x14ac:dyDescent="0.45">
      <c r="A27" s="1"/>
      <c r="B27" s="41" t="s">
        <v>25</v>
      </c>
      <c r="C27" s="41"/>
      <c r="D27" s="41"/>
      <c r="E27" s="10">
        <f>E16+E18+E22+E24+E26</f>
        <v>4215814.2121840762</v>
      </c>
      <c r="F27" s="11" t="s">
        <v>3</v>
      </c>
      <c r="G27" s="1"/>
    </row>
    <row r="28" spans="1:7" ht="28.5" customHeight="1" x14ac:dyDescent="0.45">
      <c r="A28" s="1"/>
      <c r="B28" s="69" t="s">
        <v>98</v>
      </c>
      <c r="C28" s="69"/>
      <c r="D28" s="69"/>
      <c r="E28" s="69"/>
      <c r="F28" s="69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3" t="s">
        <v>69</v>
      </c>
      <c r="C3" s="63"/>
      <c r="D3" s="63"/>
      <c r="E3" s="1"/>
      <c r="F3" s="1"/>
    </row>
    <row r="4" spans="1:6" ht="15" customHeight="1" x14ac:dyDescent="0.45">
      <c r="A4" s="1"/>
      <c r="B4" s="63"/>
      <c r="C4" s="63"/>
      <c r="D4" s="6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99</v>
      </c>
      <c r="C8" s="82"/>
      <c r="D8" s="83"/>
      <c r="E8" s="1"/>
      <c r="F8" s="1"/>
    </row>
    <row r="9" spans="1:6" ht="15" customHeight="1" x14ac:dyDescent="0.45">
      <c r="A9" s="1"/>
      <c r="B9" s="17" t="s">
        <v>32</v>
      </c>
      <c r="C9" s="42" t="s">
        <v>100</v>
      </c>
      <c r="D9" s="42"/>
      <c r="E9" s="1"/>
      <c r="F9" s="1"/>
    </row>
    <row r="10" spans="1:6" x14ac:dyDescent="0.45">
      <c r="A10" s="1"/>
      <c r="B10" s="26" t="s">
        <v>154</v>
      </c>
      <c r="C10" s="8">
        <v>1891730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6360</v>
      </c>
      <c r="D11" s="12" t="s">
        <v>3</v>
      </c>
      <c r="E11" s="1"/>
      <c r="F11" s="1"/>
    </row>
    <row r="12" spans="1:6" x14ac:dyDescent="0.45">
      <c r="A12" s="1"/>
      <c r="B12" s="46" t="s">
        <v>101</v>
      </c>
      <c r="C12" s="10">
        <f>SUM(C10:C11)</f>
        <v>1898090</v>
      </c>
      <c r="D12" s="11" t="s">
        <v>3</v>
      </c>
      <c r="E12" s="1"/>
      <c r="F12" s="1"/>
    </row>
    <row r="13" spans="1:6" x14ac:dyDescent="0.45">
      <c r="A13" s="1"/>
      <c r="B13" s="46" t="s">
        <v>102</v>
      </c>
      <c r="C13" s="10">
        <f>C12*(1+'Fane 10. Nøgletal'!C13)^2</f>
        <v>1944685.9077156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ht="15" customHeight="1" x14ac:dyDescent="0.45">
      <c r="A5" s="1"/>
      <c r="B5" s="35"/>
      <c r="C5" s="35"/>
      <c r="D5" s="35"/>
      <c r="E5" s="35"/>
      <c r="F5" s="35"/>
      <c r="G5" s="1"/>
    </row>
    <row r="6" spans="1:7" ht="15" customHeight="1" x14ac:dyDescent="0.4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45">
      <c r="A7" s="1"/>
      <c r="B7" s="85" t="s">
        <v>34</v>
      </c>
      <c r="C7" s="85"/>
      <c r="D7" s="85"/>
      <c r="E7" s="8">
        <v>-390655.52</v>
      </c>
      <c r="F7" s="12" t="s">
        <v>3</v>
      </c>
      <c r="G7" s="1"/>
    </row>
    <row r="8" spans="1:7" ht="15" customHeight="1" x14ac:dyDescent="0.45">
      <c r="A8" s="1"/>
      <c r="B8" s="85" t="s">
        <v>35</v>
      </c>
      <c r="C8" s="85"/>
      <c r="D8" s="85"/>
      <c r="E8" s="8">
        <v>-1438824.2178262901</v>
      </c>
      <c r="F8" s="12" t="s">
        <v>3</v>
      </c>
      <c r="G8" s="1"/>
    </row>
    <row r="9" spans="1:7" ht="15" customHeight="1" x14ac:dyDescent="0.45">
      <c r="A9" s="1"/>
      <c r="B9" s="76" t="s">
        <v>76</v>
      </c>
      <c r="C9" s="77"/>
      <c r="D9" s="78"/>
      <c r="E9" s="9">
        <f>SUM(E7:E8)</f>
        <v>-1829479.7378262901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69" t="s">
        <v>71</v>
      </c>
      <c r="C11" s="69"/>
      <c r="D11" s="69"/>
      <c r="E11" s="69"/>
      <c r="F11" s="69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4" t="s">
        <v>62</v>
      </c>
      <c r="C14" s="84"/>
      <c r="D14" s="84"/>
      <c r="E14" s="84"/>
      <c r="F14" s="84"/>
      <c r="G14" s="1"/>
    </row>
    <row r="15" spans="1:7" x14ac:dyDescent="0.45">
      <c r="A15" s="1"/>
      <c r="B15" s="85" t="s">
        <v>63</v>
      </c>
      <c r="C15" s="85"/>
      <c r="D15" s="85"/>
      <c r="E15" s="8">
        <v>2155873.1440000003</v>
      </c>
      <c r="F15" s="12" t="s">
        <v>3</v>
      </c>
      <c r="G15" s="1"/>
    </row>
    <row r="16" spans="1:7" x14ac:dyDescent="0.45">
      <c r="A16" s="1"/>
      <c r="B16" s="85" t="s">
        <v>64</v>
      </c>
      <c r="C16" s="85"/>
      <c r="D16" s="85"/>
      <c r="E16" s="8">
        <v>4570739</v>
      </c>
      <c r="F16" s="12" t="s">
        <v>3</v>
      </c>
      <c r="G16" s="1"/>
    </row>
    <row r="17" spans="1:7" x14ac:dyDescent="0.4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45">
      <c r="A18" s="1"/>
      <c r="B18" s="86" t="s">
        <v>136</v>
      </c>
      <c r="C18" s="86"/>
      <c r="D18" s="86"/>
      <c r="E18" s="9">
        <f>E15-(E16-E17)</f>
        <v>-2414865.8559999997</v>
      </c>
      <c r="F18" s="15" t="s">
        <v>3</v>
      </c>
      <c r="G18" s="1"/>
    </row>
    <row r="19" spans="1:7" x14ac:dyDescent="0.45">
      <c r="A19" s="1"/>
      <c r="B19" s="87"/>
      <c r="C19" s="88"/>
      <c r="D19" s="88"/>
      <c r="E19" s="88"/>
      <c r="F19" s="89"/>
      <c r="G19" s="1"/>
    </row>
    <row r="20" spans="1:7" ht="28.5" customHeight="1" x14ac:dyDescent="0.4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45">
      <c r="A23" s="1"/>
      <c r="B23" s="85" t="s">
        <v>45</v>
      </c>
      <c r="C23" s="85"/>
      <c r="D23" s="85"/>
      <c r="E23" s="8">
        <v>3978633.8180351909</v>
      </c>
      <c r="F23" s="12" t="s">
        <v>3</v>
      </c>
      <c r="G23" s="1"/>
    </row>
    <row r="24" spans="1:7" ht="15" customHeight="1" x14ac:dyDescent="0.45">
      <c r="A24" s="1"/>
      <c r="B24" s="85" t="s">
        <v>46</v>
      </c>
      <c r="C24" s="85"/>
      <c r="D24" s="85"/>
      <c r="E24" s="8">
        <v>3942047</v>
      </c>
      <c r="F24" s="12" t="s">
        <v>3</v>
      </c>
      <c r="G24" s="1"/>
    </row>
    <row r="25" spans="1:7" ht="15" customHeight="1" x14ac:dyDescent="0.4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45">
      <c r="A26" s="1"/>
      <c r="B26" s="86" t="s">
        <v>137</v>
      </c>
      <c r="C26" s="86"/>
      <c r="D26" s="86"/>
      <c r="E26" s="9">
        <f>E23-(E24-E25)</f>
        <v>36586.818035190925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5" customHeight="1" x14ac:dyDescent="0.4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4" t="s">
        <v>127</v>
      </c>
      <c r="C30" s="84"/>
      <c r="D30" s="84"/>
      <c r="E30" s="84"/>
      <c r="F30" s="84"/>
      <c r="G30" s="1"/>
    </row>
    <row r="31" spans="1:7" x14ac:dyDescent="0.45">
      <c r="A31" s="1"/>
      <c r="B31" s="85" t="s">
        <v>128</v>
      </c>
      <c r="C31" s="85"/>
      <c r="D31" s="85"/>
      <c r="E31" s="8">
        <v>8895510.4423127584</v>
      </c>
      <c r="F31" s="12" t="s">
        <v>3</v>
      </c>
      <c r="G31" s="1"/>
    </row>
    <row r="32" spans="1:7" x14ac:dyDescent="0.45">
      <c r="A32" s="1"/>
      <c r="B32" s="85" t="s">
        <v>129</v>
      </c>
      <c r="C32" s="85"/>
      <c r="D32" s="85"/>
      <c r="E32" s="8">
        <v>4718977</v>
      </c>
      <c r="F32" s="12" t="s">
        <v>3</v>
      </c>
      <c r="G32" s="1"/>
    </row>
    <row r="33" spans="1:7" x14ac:dyDescent="0.4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45">
      <c r="A34" s="1"/>
      <c r="B34" s="86" t="s">
        <v>138</v>
      </c>
      <c r="C34" s="86"/>
      <c r="D34" s="86"/>
      <c r="E34" s="9">
        <f>E31-(E32-E33)</f>
        <v>4176533.4423127584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4" t="s">
        <v>130</v>
      </c>
      <c r="C38" s="84"/>
      <c r="D38" s="84"/>
      <c r="E38" s="84"/>
      <c r="F38" s="84"/>
      <c r="G38" s="1"/>
    </row>
    <row r="39" spans="1:7" x14ac:dyDescent="0.45">
      <c r="A39" s="1"/>
      <c r="B39" s="90" t="s">
        <v>36</v>
      </c>
      <c r="C39" s="90"/>
      <c r="D39" s="90"/>
      <c r="E39" s="8">
        <f>E9</f>
        <v>-1829479.7378262901</v>
      </c>
      <c r="F39" s="12" t="s">
        <v>3</v>
      </c>
      <c r="G39" s="1"/>
    </row>
    <row r="40" spans="1:7" x14ac:dyDescent="0.4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45">
      <c r="A42" s="1"/>
      <c r="B42" s="86" t="s">
        <v>133</v>
      </c>
      <c r="C42" s="86"/>
      <c r="D42" s="86"/>
      <c r="E42" s="9">
        <f>SUM(E39)/E41</f>
        <v>-914739.86891314504</v>
      </c>
      <c r="F42" s="15" t="s">
        <v>3</v>
      </c>
      <c r="G42" s="1"/>
    </row>
    <row r="43" spans="1:7" x14ac:dyDescent="0.4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45">
      <c r="A44" s="1"/>
      <c r="B44" s="84"/>
      <c r="C44" s="84"/>
      <c r="D44" s="84"/>
      <c r="E44" s="84"/>
      <c r="F44" s="84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4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2" t="s">
        <v>2</v>
      </c>
      <c r="F9" s="42" t="s">
        <v>11</v>
      </c>
      <c r="G9" s="42" t="s">
        <v>30</v>
      </c>
      <c r="H9" s="45"/>
      <c r="I9" s="1"/>
    </row>
    <row r="10" spans="1:9" x14ac:dyDescent="0.45">
      <c r="A10" s="1"/>
      <c r="B10" s="33" t="s">
        <v>156</v>
      </c>
      <c r="C10" s="34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2020-10-13T10:30:38Z</dcterms:modified>
</cp:coreProperties>
</file>