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Kalundborg Vandforsyning AS (V112)\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0" i="37" l="1"/>
  <c r="E13" i="37" l="1"/>
  <c r="C13" i="37"/>
  <c r="C14" i="37" s="1"/>
  <c r="E32" i="27" l="1"/>
  <c r="C19" i="23"/>
  <c r="C19" i="22"/>
  <c r="C19" i="15"/>
  <c r="C31" i="2"/>
  <c r="G18" i="40" l="1"/>
  <c r="E25" i="32" l="1"/>
  <c r="E29" i="32" s="1"/>
  <c r="E31" i="32" s="1"/>
  <c r="C17" i="15" l="1"/>
  <c r="C29" i="2"/>
  <c r="F18" i="11"/>
  <c r="F17" i="11"/>
  <c r="F16" i="11"/>
  <c r="F11" i="11" l="1"/>
  <c r="F12" i="11"/>
  <c r="F13" i="11"/>
  <c r="F14" i="11"/>
  <c r="F15" i="11"/>
  <c r="F10" i="11"/>
  <c r="E12" i="39" l="1"/>
  <c r="C12" i="39"/>
  <c r="E11" i="29"/>
  <c r="E12" i="29" s="1"/>
  <c r="C14" i="2" s="1"/>
  <c r="C11" i="29"/>
  <c r="J18" i="11"/>
  <c r="H18" i="11"/>
  <c r="C18" i="19"/>
  <c r="C19" i="19" l="1"/>
  <c r="C10" i="37" l="1"/>
  <c r="C15" i="23" l="1"/>
  <c r="C15" i="22" l="1"/>
  <c r="C15" i="15"/>
  <c r="C12" i="29"/>
  <c r="G36" i="36" l="1"/>
  <c r="G36" i="30"/>
  <c r="G6" i="30" l="1"/>
  <c r="E13" i="39" l="1"/>
  <c r="C13" i="39"/>
  <c r="C23" i="2" s="1"/>
  <c r="C25" i="2" s="1"/>
  <c r="G10" i="30" l="1"/>
  <c r="G12" i="30" s="1"/>
  <c r="E14"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<sst xmlns="http://schemas.openxmlformats.org/spreadsheetml/2006/main" count="555" uniqueCount="265">
  <si>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</si>
  <si>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</si>
  <si>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</si>
  <si>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</si>
  <si>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</si>
  <si>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</si>
  <si>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</si>
  <si>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</si>
  <si>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</si>
  <si>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</si>
  <si>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</si>
  <si>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</si>
  <si>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</si>
  <si>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</si>
  <si>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</si>
  <si>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</si>
  <si>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</si>
  <si>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</si>
  <si>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</si>
  <si>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</si>
  <si>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</si>
  <si>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</si>
  <si>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</si>
  <si>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</si>
  <si>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</si>
  <si>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</si>
  <si>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</si>
  <si>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</si>
  <si>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</si>
  <si>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</si>
  <si>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</si>
  <si>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</si>
  <si>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</si>
  <si>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</si>
  <si>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</si>
  <si>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</si>
  <si>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</si>
  <si>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</si>
  <si>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</si>
  <si>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</si>
  <si>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</si>
  <si>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</si>
  <si>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</si>
  <si>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</si>
  <si>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</si>
  <si>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</si>
  <si>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</si>
  <si>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</si>
  <si>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</si>
  <si>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</si>
  <si>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</si>
  <si>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</si>
  <si>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</si>
  <si>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</si>
  <si>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</si>
  <si>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</si>
  <si>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</si>
  <si>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</si>
  <si>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</si>
  <si>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</si>
  <si>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</si>
  <si>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</si>
  <si>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</si>
  <si>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</si>
  <si>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</si>
  <si>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</si>
  <si>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</si>
  <si>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</si>
  <si>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</si>
  <si>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</si>
  <si>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</si>
  <si>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</si>
  <si>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</si>
  <si>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</si>
  <si>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</si>
  <si>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</si>
  <si>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</si>
  <si>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</si>
  <si>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</si>
  <si>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</si>
  <si>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</si>
  <si>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</si>
  <si>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</si>
  <si>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</si>
  <si>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</si>
  <si>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</si>
  <si>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</si>
  <si>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</si>
  <si>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</si>
  <si>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</si>
  <si>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</si>
  <si>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</si>
  <si>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</si>
  <si>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</si>
  <si>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</si>
  <si>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</si>
  <si>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</si>
  <si>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</si>
  <si>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</si>
  <si>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</si>
  <si>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</si>
  <si>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</si>
  <si>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</si>
  <si>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</si>
  <si>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</si>
  <si>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</si>
  <si>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</si>
  <si>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</si>
  <si>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</si>
  <si>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</si>
  <si>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</si>
  <si>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</si>
  <si>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</si>
  <si>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</si>
  <si>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</si>
  <si>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</si>
  <si>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</si>
  <si>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</si>
  <si>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</si>
  <si>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</si>
  <si>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</si>
  <si>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</si>
  <si>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</si>
  <si>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</si>
  <si>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</si>
  <si>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</si>
  <si>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</si>
  <si>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</si>
  <si>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</si>
  <si>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</si>
  <si>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</si>
  <si>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</si>
  <si>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</si>
  <si>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</si>
  <si>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</si>
  <si>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</si>
  <si>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</si>
  <si>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</si>
  <si>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</si>
  <si>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</si>
  <si>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</si>
  <si>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</si>
  <si>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</si>
  <si>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</si>
  <si>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</si>
  <si>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</si>
  <si>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</si>
  <si>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</si>
  <si>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</si>
  <si>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</si>
  <si>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</si>
  <si>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</si>
  <si>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</si>
  <si>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</si>
  <si>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</si>
  <si>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</si>
  <si>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</si>
  <si>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</si>
  <si>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</si>
  <si>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</si>
  <si>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</si>
  <si>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</si>
  <si>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</si>
  <si>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</si>
  <si>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</si>
  <si>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</si>
  <si>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</si>
  <si>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</si>
  <si>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</si>
  <si>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</si>
  <si>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</si>
  <si>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</si>
  <si>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</si>
  <si>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</si>
  <si>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</si>
  <si>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</si>
  <si>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</si>
  <si>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</si>
  <si>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</si>
  <si>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</si>
  <si>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</si>
  <si>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</si>
  <si>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</si>
  <si>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</si>
  <si>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</si>
  <si>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</si>
  <si>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</si>
  <si>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</si>
  <si>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</si>
  <si>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</si>
  <si>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</si>
  <si>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</si>
  <si>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</si>
  <si>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</si>
  <si>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</si>
  <si>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</si>
  <si>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</si>
  <si>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</si>
  <si>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</si>
  <si>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</si>
  <si>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</si>
  <si>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</si>
  <si>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</si>
  <si>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</si>
  <si>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</si>
  <si>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</si>
  <si>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</si>
  <si>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</si>
  <si>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</si>
  <si>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</si>
  <si>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</si>
  <si>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</si>
  <si>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</si>
  <si>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</si>
  <si>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</si>
  <si>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</si>
  <si>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</si>
  <si>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</si>
  <si>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</si>
  <si>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</si>
  <si>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</si>
  <si>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</si>
  <si>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</si>
  <si>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</si>
  <si>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</si>
  <si>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</si>
  <si>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</si>
  <si>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</si>
  <si>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</si>
  <si>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</si>
  <si>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</si>
  <si>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</si>
  <si>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Køb af ydelser og produkter fra andre vandselskaber reguleret af vandsektorloven</t>
  </si>
  <si>
    <t>Ejendomsskat</t>
  </si>
  <si>
    <t>Tjenestemandspensioner</t>
  </si>
  <si>
    <t>Erstatninger</t>
  </si>
  <si>
    <t>Pålagte aftaler om dyrkningspraksis eller andre restriktioner i arealanvendelse</t>
  </si>
  <si>
    <t>Frivillige aftaler om dyrkningspraksis eller andre restriktioner i arealanvendelse</t>
  </si>
  <si>
    <t>Boring (inkl. etablering, forerør, filter og prøvepumpning)</t>
  </si>
  <si>
    <t>SRO anlæg</t>
  </si>
  <si>
    <t>Elanlæg</t>
  </si>
  <si>
    <t>Instrumenter (flowmåler+tryk transducer+alarmer)</t>
  </si>
  <si>
    <t>Pumpe inkl. stigrør og forerørsforsejlinger mv.</t>
  </si>
  <si>
    <t>Råvandsstation komplet montering og boringshus/tørbrønd</t>
  </si>
  <si>
    <t>Ø 250 mm &lt; Ledningsnet ≤ Ø 500mm</t>
  </si>
  <si>
    <t>Anlægsprojekter igangsat senest 1. marts 2016</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</si>
  <si>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</si>
  <si>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</si>
  <si>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</si>
  <si>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</si>
  <si>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</si>
  <si>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</si>
  <si>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</si>
  <si>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</si>
  <si>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</si>
  <si>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</si>
  <si>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</si>
  <si>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</si>
  <si>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</si>
  <si>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</si>
  <si>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</si>
  <si>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</si>
  <si>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Monitering, ISO-certificering, analyser mm.</t>
  </si>
  <si>
    <t>Resultat af kontrol med overholdelse af den økonomiske ramme for 2021</t>
  </si>
  <si>
    <t>Flytning af boringer ved Løgtved Grusgrav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</si>
</sst>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1" xfId="0" applyFont="1" applyFill="1" applyBorder="1" applyAlignment="1" applyProtection="1">
      <alignment horizontal="left" vertical="top" wrapText="1"/>
    </xf>
    <xf numFmtId="1" fontId="8" fillId="0" borderId="1" xfId="0" applyNumberFormat="1" applyFont="1" applyFill="1" applyBorder="1" applyAlignment="1" applyProtection="1">
      <alignment horizontal="center" vertical="center"/>
    </xf>
    <xf numFmtId="3" fontId="8" fillId="8" borderId="1" xfId="0" applyNumberFormat="1" applyFont="1" applyFill="1" applyBorder="1" applyAlignment="1" applyProtection="1">
      <alignment vertical="center"/>
    </xf>
    <xf numFmtId="165" fontId="8" fillId="8" borderId="1" xfId="1" applyNumberFormat="1" applyFont="1" applyFill="1" applyBorder="1" applyAlignment="1" applyProtection="1">
      <alignment vertical="center"/>
    </xf>
    <xf numFmtId="0" fontId="8" fillId="8" borderId="1" xfId="0" applyFont="1" applyFill="1" applyBorder="1" applyAlignment="1" applyProtection="1">
      <alignment vertical="center"/>
    </xf>
    <xf numFmtId="49" fontId="8" fillId="8" borderId="2" xfId="0" applyNumberFormat="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0" fillId="0" borderId="0" xfId="0" applyFill="1" applyAlignment="1" applyProtection="1">
      <alignment horizontal="right"/>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5" t="s">
        <v>161</v>
      </c>
      <c r="E13" s="96"/>
      <c r="F13" s="96"/>
      <c r="G13" s="97"/>
      <c r="H13" s="1"/>
      <c r="I13" s="1"/>
    </row>
    <row r="14" spans="1:9" x14ac:dyDescent="0.25">
      <c r="A14" s="1"/>
      <c r="B14" s="1"/>
      <c r="C14" s="6" t="s">
        <v>14</v>
      </c>
      <c r="D14" s="95" t="s">
        <v>204</v>
      </c>
      <c r="E14" s="96"/>
      <c r="F14" s="96"/>
      <c r="G14" s="97"/>
      <c r="H14" s="1"/>
      <c r="I14" s="1"/>
    </row>
    <row r="15" spans="1:9" x14ac:dyDescent="0.25">
      <c r="A15" s="1"/>
      <c r="B15" s="1"/>
      <c r="C15" s="6" t="s">
        <v>32</v>
      </c>
      <c r="D15" s="95" t="s">
        <v>137</v>
      </c>
      <c r="E15" s="96"/>
      <c r="F15" s="96"/>
      <c r="G15" s="97"/>
      <c r="H15" s="1"/>
      <c r="I15" s="1"/>
    </row>
    <row r="16" spans="1:9" x14ac:dyDescent="0.25">
      <c r="A16" s="1"/>
      <c r="B16" s="1"/>
      <c r="C16" s="6" t="s">
        <v>33</v>
      </c>
      <c r="D16" s="95" t="s">
        <v>162</v>
      </c>
      <c r="E16" s="96"/>
      <c r="F16" s="96"/>
      <c r="G16" s="97"/>
      <c r="H16" s="1"/>
      <c r="I16" s="1"/>
    </row>
    <row r="17" spans="1:9" x14ac:dyDescent="0.25">
      <c r="A17" s="1"/>
      <c r="B17" s="1"/>
      <c r="C17" s="6" t="s">
        <v>110</v>
      </c>
      <c r="D17" s="95" t="s">
        <v>163</v>
      </c>
      <c r="E17" s="96"/>
      <c r="F17" s="96"/>
      <c r="G17" s="97"/>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92" t="s">
        <v>11</v>
      </c>
      <c r="E21" s="93"/>
      <c r="F21" s="93"/>
      <c r="G21" s="94"/>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89" t="s">
        <v>92</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9"/>
      <c r="B51" s="59"/>
      <c r="C51" s="59"/>
      <c r="D51" s="59"/>
      <c r="E51" s="59"/>
      <c r="F51" s="59"/>
      <c r="G51" s="59"/>
      <c r="H51" s="59"/>
      <c r="I51" s="59"/>
    </row>
  </sheetData>
  <sheetProtection algorithmName="SHA-512" hashValue="6BXGXmUFagXMl4OX6iF8YGdKs88Fd6NOuIPQD0qk2zI8bfOI1e5X5buR1BIoWmGJfD6brtYTz9GAPWD/JQyB+A==" saltValue="zkSEmTrv71v7VPxxzaUd6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4" t="s">
        <v>100</v>
      </c>
      <c r="C3" s="104"/>
      <c r="D3" s="104"/>
      <c r="E3" s="1"/>
      <c r="F3" s="1"/>
    </row>
    <row r="4" spans="1:6" ht="15" customHeight="1" x14ac:dyDescent="0.25">
      <c r="A4" s="1"/>
      <c r="B4" s="104"/>
      <c r="C4" s="104"/>
      <c r="D4" s="10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2" t="s">
        <v>30</v>
      </c>
      <c r="C9" s="11" t="s">
        <v>212</v>
      </c>
      <c r="D9" s="11"/>
      <c r="E9" s="1"/>
      <c r="F9" s="1"/>
    </row>
    <row r="10" spans="1:6" x14ac:dyDescent="0.25">
      <c r="A10" s="1"/>
      <c r="B10" s="84" t="s">
        <v>230</v>
      </c>
      <c r="C10" s="9">
        <v>20583331</v>
      </c>
      <c r="D10" s="14" t="s">
        <v>3</v>
      </c>
      <c r="E10" s="1"/>
      <c r="F10" s="1"/>
    </row>
    <row r="11" spans="1:6" x14ac:dyDescent="0.25">
      <c r="A11" s="1"/>
      <c r="B11" s="84" t="s">
        <v>231</v>
      </c>
      <c r="C11" s="9">
        <v>138468</v>
      </c>
      <c r="D11" s="14" t="s">
        <v>3</v>
      </c>
      <c r="E11" s="1"/>
      <c r="F11" s="1"/>
    </row>
    <row r="12" spans="1:6" x14ac:dyDescent="0.25">
      <c r="A12" s="1"/>
      <c r="B12" s="84" t="s">
        <v>232</v>
      </c>
      <c r="C12" s="9">
        <v>8657034</v>
      </c>
      <c r="D12" s="14" t="s">
        <v>3</v>
      </c>
      <c r="E12" s="1"/>
      <c r="F12" s="1"/>
    </row>
    <row r="13" spans="1:6" x14ac:dyDescent="0.25">
      <c r="A13" s="1"/>
      <c r="B13" s="84" t="s">
        <v>233</v>
      </c>
      <c r="C13" s="9">
        <v>48303</v>
      </c>
      <c r="D13" s="14" t="s">
        <v>3</v>
      </c>
      <c r="E13" s="1"/>
      <c r="F13" s="1"/>
    </row>
    <row r="14" spans="1:6" x14ac:dyDescent="0.25">
      <c r="A14" s="1"/>
      <c r="B14" s="84" t="s">
        <v>234</v>
      </c>
      <c r="C14" s="9">
        <v>90180</v>
      </c>
      <c r="D14" s="14" t="s">
        <v>3</v>
      </c>
      <c r="E14" s="1"/>
      <c r="F14" s="1"/>
    </row>
    <row r="15" spans="1:6" x14ac:dyDescent="0.25">
      <c r="A15" s="1"/>
      <c r="B15" s="84" t="s">
        <v>235</v>
      </c>
      <c r="C15" s="9">
        <v>17985</v>
      </c>
      <c r="D15" s="14" t="s">
        <v>3</v>
      </c>
      <c r="E15" s="1"/>
      <c r="F15" s="1"/>
    </row>
    <row r="16" spans="1:6" x14ac:dyDescent="0.25">
      <c r="A16" s="1"/>
      <c r="B16" s="84" t="s">
        <v>236</v>
      </c>
      <c r="C16" s="9">
        <v>71241</v>
      </c>
      <c r="D16" s="14" t="s">
        <v>3</v>
      </c>
      <c r="E16" s="1"/>
      <c r="F16" s="1"/>
    </row>
    <row r="17" spans="1:6" x14ac:dyDescent="0.25">
      <c r="A17" s="1"/>
      <c r="B17" s="84" t="s">
        <v>237</v>
      </c>
      <c r="C17" s="9">
        <v>1424835</v>
      </c>
      <c r="D17" s="14" t="s">
        <v>3</v>
      </c>
      <c r="E17" s="1"/>
      <c r="F17" s="1"/>
    </row>
    <row r="18" spans="1:6" x14ac:dyDescent="0.25">
      <c r="A18" s="1"/>
      <c r="B18" s="72" t="s">
        <v>182</v>
      </c>
      <c r="C18" s="12">
        <f>SUM(C10:C17)</f>
        <v>31031377</v>
      </c>
      <c r="D18" s="13" t="s">
        <v>3</v>
      </c>
      <c r="E18" s="1"/>
      <c r="F18" s="1"/>
    </row>
    <row r="19" spans="1:6" x14ac:dyDescent="0.25">
      <c r="A19" s="1"/>
      <c r="B19" s="72" t="s">
        <v>183</v>
      </c>
      <c r="C19" s="12">
        <f>C18*(1+'Fane 13. Nøgletal'!C15)^2</f>
        <v>33280138.968354724</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9"/>
      <c r="B51" s="59"/>
      <c r="C51" s="59"/>
      <c r="D51" s="59"/>
      <c r="E51" s="59"/>
      <c r="F51" s="59"/>
    </row>
    <row r="52" spans="1:6" x14ac:dyDescent="0.25">
      <c r="A52" s="59"/>
      <c r="B52" s="59"/>
      <c r="C52" s="59"/>
      <c r="D52" s="59"/>
      <c r="E52" s="59"/>
      <c r="F52" s="59"/>
    </row>
    <row r="53" spans="1:6" x14ac:dyDescent="0.25">
      <c r="A53" s="59"/>
      <c r="B53" s="59"/>
      <c r="C53" s="59"/>
      <c r="D53" s="59"/>
      <c r="E53" s="59"/>
      <c r="F53" s="59"/>
    </row>
    <row r="54" spans="1:6" x14ac:dyDescent="0.25">
      <c r="A54" s="59"/>
      <c r="B54" s="59"/>
      <c r="C54" s="59"/>
      <c r="D54" s="59"/>
      <c r="E54" s="59"/>
      <c r="F54" s="59"/>
    </row>
    <row r="55" spans="1:6" x14ac:dyDescent="0.25">
      <c r="A55" s="59"/>
      <c r="B55" s="59"/>
      <c r="C55" s="59"/>
      <c r="D55" s="59"/>
      <c r="E55" s="59"/>
      <c r="F55" s="59"/>
    </row>
  </sheetData>
  <sheetProtection algorithmName="SHA-512" hashValue="lbAHP9TjkC5WFqblw1yeA2DRmtNfMxqljl/nPOei1TWb/8tH64lEtraDzCmCCtRnhwdpIjellJ3Y3m49WFNI4A==" saltValue="UJdczoBmWp3alS4M8wBpb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184</v>
      </c>
      <c r="C3" s="112"/>
      <c r="D3" s="112"/>
      <c r="E3" s="112"/>
      <c r="F3" s="112"/>
      <c r="G3" s="1"/>
    </row>
    <row r="4" spans="1:7" ht="15" customHeight="1" x14ac:dyDescent="0.25">
      <c r="A4" s="1"/>
      <c r="B4" s="112"/>
      <c r="C4" s="112"/>
      <c r="D4" s="112"/>
      <c r="E4" s="112"/>
      <c r="F4" s="112"/>
      <c r="G4" s="1"/>
    </row>
    <row r="5" spans="1:7" ht="15" customHeight="1" x14ac:dyDescent="0.25">
      <c r="A5" s="1"/>
      <c r="B5" s="79"/>
      <c r="C5" s="79"/>
      <c r="D5" s="79"/>
      <c r="E5" s="79"/>
      <c r="F5" s="79"/>
      <c r="G5" s="1"/>
    </row>
    <row r="6" spans="1:7" ht="15" customHeight="1" x14ac:dyDescent="0.25">
      <c r="A6" s="1"/>
      <c r="B6" s="79"/>
      <c r="C6" s="79"/>
      <c r="D6" s="79"/>
      <c r="E6" s="79"/>
      <c r="F6" s="79"/>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0" t="s">
        <v>156</v>
      </c>
      <c r="C9" s="131"/>
      <c r="D9" s="132"/>
      <c r="E9" s="9">
        <v>5193815</v>
      </c>
      <c r="F9" s="14" t="s">
        <v>3</v>
      </c>
      <c r="G9" s="1"/>
    </row>
    <row r="10" spans="1:7" x14ac:dyDescent="0.25">
      <c r="A10" s="1"/>
      <c r="B10" s="145" t="s">
        <v>246</v>
      </c>
      <c r="C10" s="146"/>
      <c r="D10" s="147"/>
      <c r="E10" s="9">
        <v>5193815</v>
      </c>
      <c r="F10" s="58" t="s">
        <v>3</v>
      </c>
      <c r="G10" s="1"/>
    </row>
    <row r="11" spans="1:7" x14ac:dyDescent="0.25">
      <c r="A11" s="1"/>
      <c r="B11" s="130" t="s">
        <v>185</v>
      </c>
      <c r="C11" s="131"/>
      <c r="D11" s="132"/>
      <c r="E11" s="9">
        <v>-1155688.5049897581</v>
      </c>
      <c r="F11" s="14" t="s">
        <v>3</v>
      </c>
      <c r="G11" s="1"/>
    </row>
    <row r="12" spans="1:7" x14ac:dyDescent="0.25">
      <c r="A12" s="1"/>
      <c r="B12" s="72"/>
      <c r="C12" s="73"/>
      <c r="D12" s="73"/>
      <c r="E12" s="73"/>
      <c r="F12" s="19"/>
      <c r="G12" s="1"/>
    </row>
    <row r="13" spans="1:7" ht="64.900000000000006" customHeight="1" x14ac:dyDescent="0.25">
      <c r="A13" s="1"/>
      <c r="B13" s="116" t="s">
        <v>261</v>
      </c>
      <c r="C13" s="117"/>
      <c r="D13" s="117"/>
      <c r="E13" s="117"/>
      <c r="F13" s="118"/>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0" t="s">
        <v>247</v>
      </c>
      <c r="C16" s="131"/>
      <c r="D16" s="132"/>
      <c r="E16" s="9">
        <v>0</v>
      </c>
      <c r="F16" s="14" t="s">
        <v>3</v>
      </c>
      <c r="G16" s="1"/>
    </row>
    <row r="17" spans="1:7" x14ac:dyDescent="0.25">
      <c r="A17" s="1"/>
      <c r="B17" s="130" t="s">
        <v>248</v>
      </c>
      <c r="C17" s="131"/>
      <c r="D17" s="132"/>
      <c r="E17" s="9">
        <v>0</v>
      </c>
      <c r="F17" s="14" t="s">
        <v>3</v>
      </c>
      <c r="G17" s="1"/>
    </row>
    <row r="18" spans="1:7" x14ac:dyDescent="0.25">
      <c r="A18" s="1"/>
      <c r="B18" s="72"/>
      <c r="C18" s="73"/>
      <c r="D18" s="73"/>
      <c r="E18" s="73"/>
      <c r="F18" s="19"/>
      <c r="G18" s="1"/>
    </row>
    <row r="19" spans="1:7" ht="31.5" customHeight="1" x14ac:dyDescent="0.25">
      <c r="A19" s="1"/>
      <c r="B19" s="116" t="s">
        <v>158</v>
      </c>
      <c r="C19" s="117"/>
      <c r="D19" s="117"/>
      <c r="E19" s="117"/>
      <c r="F19" s="118"/>
      <c r="G19" s="1"/>
    </row>
    <row r="20" spans="1:7" ht="28.5" customHeight="1" x14ac:dyDescent="0.25">
      <c r="A20" s="1"/>
      <c r="B20" s="1"/>
      <c r="C20" s="1"/>
      <c r="D20" s="1"/>
      <c r="E20" s="1"/>
      <c r="F20" s="1"/>
      <c r="G20" s="1"/>
    </row>
    <row r="21" spans="1:7" ht="28.5" customHeight="1" x14ac:dyDescent="0.25">
      <c r="A21" s="1"/>
      <c r="B21" s="76" t="s">
        <v>186</v>
      </c>
      <c r="C21" s="77"/>
      <c r="D21" s="77"/>
      <c r="E21" s="77"/>
      <c r="F21" s="78"/>
      <c r="G21" s="1"/>
    </row>
    <row r="22" spans="1:7" x14ac:dyDescent="0.25">
      <c r="A22" s="1"/>
      <c r="B22" s="81" t="s">
        <v>249</v>
      </c>
      <c r="C22" s="82"/>
      <c r="D22" s="83"/>
      <c r="E22" s="9">
        <v>59861354.601129323</v>
      </c>
      <c r="F22" s="14" t="s">
        <v>3</v>
      </c>
      <c r="G22" s="1"/>
    </row>
    <row r="23" spans="1:7" x14ac:dyDescent="0.25">
      <c r="A23" s="1"/>
      <c r="B23" s="81" t="s">
        <v>187</v>
      </c>
      <c r="C23" s="82"/>
      <c r="D23" s="83"/>
      <c r="E23" s="9">
        <v>60751969</v>
      </c>
      <c r="F23" s="14" t="s">
        <v>3</v>
      </c>
      <c r="G23" s="1"/>
    </row>
    <row r="24" spans="1:7" x14ac:dyDescent="0.25">
      <c r="A24" s="1"/>
      <c r="B24" s="81" t="s">
        <v>31</v>
      </c>
      <c r="C24" s="82"/>
      <c r="D24" s="83"/>
      <c r="E24" s="9">
        <v>0</v>
      </c>
      <c r="F24" s="14" t="s">
        <v>3</v>
      </c>
      <c r="G24" s="1"/>
    </row>
    <row r="25" spans="1:7" x14ac:dyDescent="0.25">
      <c r="A25" s="1"/>
      <c r="B25" s="55" t="s">
        <v>263</v>
      </c>
      <c r="C25" s="56"/>
      <c r="D25" s="57"/>
      <c r="E25" s="61">
        <f>E22-(E23-E24)</f>
        <v>-890614.39887067676</v>
      </c>
      <c r="F25" s="17" t="s">
        <v>3</v>
      </c>
      <c r="G25" s="1"/>
    </row>
    <row r="26" spans="1:7" x14ac:dyDescent="0.25">
      <c r="A26" s="1"/>
      <c r="B26" s="72"/>
      <c r="C26" s="73"/>
      <c r="D26" s="73"/>
      <c r="E26" s="73"/>
      <c r="F26" s="19"/>
      <c r="G26" s="1"/>
    </row>
    <row r="27" spans="1:7" x14ac:dyDescent="0.25">
      <c r="A27" s="1"/>
      <c r="B27" s="1"/>
      <c r="C27" s="1"/>
      <c r="D27" s="1"/>
      <c r="E27" s="1"/>
      <c r="F27" s="1"/>
      <c r="G27" s="1"/>
    </row>
    <row r="28" spans="1:7" ht="28.5" customHeight="1" x14ac:dyDescent="0.25">
      <c r="A28" s="1"/>
      <c r="B28" s="127" t="s">
        <v>250</v>
      </c>
      <c r="C28" s="128"/>
      <c r="D28" s="128"/>
      <c r="E28" s="128"/>
      <c r="F28" s="129"/>
      <c r="G28" s="1"/>
    </row>
    <row r="29" spans="1:7" x14ac:dyDescent="0.25">
      <c r="A29" s="1"/>
      <c r="B29" s="148" t="s">
        <v>128</v>
      </c>
      <c r="C29" s="149"/>
      <c r="D29" s="150"/>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-890614.39887067676</v>
      </c>
      <c r="F29" s="14" t="s">
        <v>3</v>
      </c>
      <c r="G29" s="1"/>
    </row>
    <row r="30" spans="1:7" x14ac:dyDescent="0.25">
      <c r="A30" s="1"/>
      <c r="B30" s="148" t="s">
        <v>93</v>
      </c>
      <c r="C30" s="149"/>
      <c r="D30" s="150"/>
      <c r="E30" s="9">
        <v>2</v>
      </c>
      <c r="F30" s="14" t="s">
        <v>18</v>
      </c>
      <c r="G30" s="1"/>
    </row>
    <row r="31" spans="1:7" x14ac:dyDescent="0.25">
      <c r="A31" s="1"/>
      <c r="B31" s="141" t="s">
        <v>127</v>
      </c>
      <c r="C31" s="141"/>
      <c r="D31" s="141"/>
      <c r="E31" s="10">
        <f>E29/E30</f>
        <v>-445307.19943533838</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9"/>
      <c r="C38" s="59"/>
      <c r="D38" s="59"/>
      <c r="E38" s="59"/>
      <c r="F38" s="59"/>
    </row>
    <row r="39" spans="1:7" x14ac:dyDescent="0.25">
      <c r="A39" s="59"/>
      <c r="B39" s="59"/>
      <c r="C39" s="59"/>
      <c r="D39" s="59"/>
      <c r="E39" s="59"/>
      <c r="F39" s="59"/>
      <c r="G39" s="59"/>
    </row>
    <row r="40" spans="1:7" x14ac:dyDescent="0.25">
      <c r="A40" s="59"/>
      <c r="B40" s="59"/>
      <c r="C40" s="59"/>
      <c r="D40" s="59"/>
      <c r="E40" s="59"/>
      <c r="F40" s="59"/>
      <c r="G40" s="59"/>
    </row>
    <row r="41" spans="1:7" x14ac:dyDescent="0.25">
      <c r="A41" s="59"/>
      <c r="B41" s="59"/>
      <c r="C41" s="59"/>
      <c r="D41" s="59"/>
      <c r="E41" s="59"/>
      <c r="F41" s="59"/>
      <c r="G41" s="59"/>
    </row>
    <row r="42" spans="1:7" x14ac:dyDescent="0.25">
      <c r="A42" s="59"/>
      <c r="B42" s="59"/>
      <c r="C42" s="59"/>
      <c r="D42" s="59"/>
      <c r="E42" s="59"/>
      <c r="F42" s="59"/>
      <c r="G42" s="59"/>
    </row>
  </sheetData>
  <sheetProtection algorithmName="SHA-512" hashValue="uRE3IhKlLWzbWtfipncgKwmSloKjuQ8VW+UvfoRuDuJf/tOAHrgljBYX6w6nTKsZXKEz4uki5stL/gRhzGrjtQ==" saltValue="+UjVQUuYfm6+tpmzmPCbq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38" customWidth="1"/>
    <col min="2" max="2" width="22.5703125" style="38" customWidth="1"/>
    <col min="3" max="3" width="8.28515625" style="38" customWidth="1"/>
    <col min="4" max="6" width="10.7109375" style="38" customWidth="1"/>
    <col min="7" max="7" width="11.140625" style="38" customWidth="1"/>
    <col min="8" max="8" width="3.28515625" style="38" customWidth="1"/>
    <col min="9" max="9" width="4.85546875" style="38" customWidth="1"/>
    <col min="10" max="16384" width="9.140625" style="3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4" t="s">
        <v>226</v>
      </c>
      <c r="C3" s="104"/>
      <c r="D3" s="104"/>
      <c r="E3" s="104"/>
      <c r="F3" s="104"/>
      <c r="G3" s="104"/>
      <c r="H3" s="104"/>
      <c r="I3" s="1"/>
    </row>
    <row r="4" spans="1:9" ht="15" customHeight="1" x14ac:dyDescent="0.25">
      <c r="A4" s="1"/>
      <c r="B4" s="104"/>
      <c r="C4" s="104"/>
      <c r="D4" s="104"/>
      <c r="E4" s="104"/>
      <c r="F4" s="104"/>
      <c r="G4" s="104"/>
      <c r="H4" s="10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22" t="s">
        <v>228</v>
      </c>
      <c r="C9" s="123"/>
      <c r="D9" s="123"/>
      <c r="E9" s="123"/>
      <c r="F9" s="123"/>
      <c r="G9" s="123"/>
      <c r="H9" s="124"/>
      <c r="I9" s="1"/>
    </row>
    <row r="10" spans="1:9" x14ac:dyDescent="0.25">
      <c r="A10" s="1"/>
      <c r="B10" s="151" t="s">
        <v>253</v>
      </c>
      <c r="C10" s="152"/>
      <c r="D10" s="152"/>
      <c r="E10" s="152"/>
      <c r="F10" s="153"/>
      <c r="G10" s="60">
        <v>0</v>
      </c>
      <c r="H10" s="9" t="s">
        <v>3</v>
      </c>
      <c r="I10" s="1"/>
    </row>
    <row r="11" spans="1:9" x14ac:dyDescent="0.25">
      <c r="A11" s="1"/>
      <c r="B11" s="151" t="s">
        <v>254</v>
      </c>
      <c r="C11" s="152"/>
      <c r="D11" s="152"/>
      <c r="E11" s="152"/>
      <c r="F11" s="153"/>
      <c r="G11" s="60">
        <v>0</v>
      </c>
      <c r="H11" s="9" t="s">
        <v>3</v>
      </c>
      <c r="I11" s="1"/>
    </row>
    <row r="12" spans="1:9" x14ac:dyDescent="0.25">
      <c r="A12" s="1"/>
      <c r="B12" s="151" t="s">
        <v>255</v>
      </c>
      <c r="C12" s="152"/>
      <c r="D12" s="152"/>
      <c r="E12" s="152"/>
      <c r="F12" s="153"/>
      <c r="G12" s="9">
        <v>0</v>
      </c>
      <c r="H12" s="9" t="s">
        <v>3</v>
      </c>
      <c r="I12" s="1"/>
    </row>
    <row r="13" spans="1:9" x14ac:dyDescent="0.25">
      <c r="A13" s="1"/>
      <c r="B13" s="151" t="s">
        <v>256</v>
      </c>
      <c r="C13" s="152"/>
      <c r="D13" s="152"/>
      <c r="E13" s="152"/>
      <c r="F13" s="153"/>
      <c r="G13" s="9">
        <v>0</v>
      </c>
      <c r="H13" s="9" t="s">
        <v>3</v>
      </c>
      <c r="I13" s="1"/>
    </row>
    <row r="14" spans="1:9" x14ac:dyDescent="0.25">
      <c r="A14" s="1"/>
      <c r="B14" s="151" t="s">
        <v>257</v>
      </c>
      <c r="C14" s="152"/>
      <c r="D14" s="152"/>
      <c r="E14" s="152"/>
      <c r="F14" s="153"/>
      <c r="G14" s="9">
        <v>0</v>
      </c>
      <c r="H14" s="9" t="s">
        <v>3</v>
      </c>
      <c r="I14" s="1"/>
    </row>
    <row r="15" spans="1:9" x14ac:dyDescent="0.25">
      <c r="A15" s="1"/>
      <c r="B15" s="151" t="s">
        <v>258</v>
      </c>
      <c r="C15" s="152"/>
      <c r="D15" s="152"/>
      <c r="E15" s="152"/>
      <c r="F15" s="153"/>
      <c r="G15" s="9">
        <v>0</v>
      </c>
      <c r="H15" s="9" t="s">
        <v>3</v>
      </c>
      <c r="I15" s="1"/>
    </row>
    <row r="16" spans="1:9" x14ac:dyDescent="0.25">
      <c r="A16" s="1"/>
      <c r="B16" s="151" t="s">
        <v>259</v>
      </c>
      <c r="C16" s="152"/>
      <c r="D16" s="152"/>
      <c r="E16" s="152"/>
      <c r="F16" s="153"/>
      <c r="G16" s="9">
        <v>0</v>
      </c>
      <c r="H16" s="9" t="s">
        <v>3</v>
      </c>
      <c r="I16" s="1"/>
    </row>
    <row r="17" spans="1:9" x14ac:dyDescent="0.25">
      <c r="A17" s="1"/>
      <c r="B17" s="151" t="s">
        <v>260</v>
      </c>
      <c r="C17" s="152"/>
      <c r="D17" s="152"/>
      <c r="E17" s="152"/>
      <c r="F17" s="153"/>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mvrjHu5p6D/xUJ6ch0MqxjzrzSXaiidI5E9Ry13YZ8nx/66ERmn1QBy+STVGanjcVos2SuwgBvvOFoRLsclb4Q==" saltValue="9d7Tbx5Mw8tgjAzTNdWIJ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3.85546875" style="2" customWidth="1"/>
    <col min="2" max="2" width="24" style="2" customWidth="1"/>
    <col min="3" max="3" width="6.85546875" style="2" customWidth="1"/>
    <col min="4" max="4" width="9.42578125" style="2" customWidth="1"/>
    <col min="5" max="5" width="2.7109375" style="2" customWidth="1"/>
    <col min="6" max="6" width="8.42578125" style="2" customWidth="1"/>
    <col min="7" max="7" width="2.7109375" style="2" customWidth="1"/>
    <col min="8" max="8" width="8.42578125" style="2" customWidth="1"/>
    <col min="9" max="9" width="2.7109375" style="2" customWidth="1"/>
    <col min="10" max="10" width="8.42578125"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220</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49" t="s">
        <v>0</v>
      </c>
      <c r="C9" s="18" t="s">
        <v>1</v>
      </c>
      <c r="D9" s="154" t="s">
        <v>213</v>
      </c>
      <c r="E9" s="155"/>
      <c r="F9" s="154" t="s">
        <v>2</v>
      </c>
      <c r="G9" s="155"/>
      <c r="H9" s="154" t="s">
        <v>214</v>
      </c>
      <c r="I9" s="155"/>
      <c r="J9" s="154" t="s">
        <v>28</v>
      </c>
      <c r="K9" s="155"/>
      <c r="L9" s="1"/>
    </row>
    <row r="10" spans="1:12" ht="39" x14ac:dyDescent="0.25">
      <c r="A10" s="1"/>
      <c r="B10" s="54" t="s">
        <v>238</v>
      </c>
      <c r="C10" s="50">
        <v>30</v>
      </c>
      <c r="D10" s="51">
        <v>1313922</v>
      </c>
      <c r="E10" s="53" t="s">
        <v>3</v>
      </c>
      <c r="F10" s="52">
        <f>IFERROR(D10/C10,0)</f>
        <v>43797.4</v>
      </c>
      <c r="G10" s="53" t="s">
        <v>3</v>
      </c>
      <c r="H10" s="51">
        <v>0</v>
      </c>
      <c r="I10" s="53" t="s">
        <v>3</v>
      </c>
      <c r="J10" s="51">
        <v>0</v>
      </c>
      <c r="K10" s="53" t="s">
        <v>3</v>
      </c>
      <c r="L10" s="1"/>
    </row>
    <row r="11" spans="1:12" x14ac:dyDescent="0.25">
      <c r="A11" s="1"/>
      <c r="B11" s="54" t="s">
        <v>239</v>
      </c>
      <c r="C11" s="50">
        <v>10</v>
      </c>
      <c r="D11" s="51">
        <v>1227642</v>
      </c>
      <c r="E11" s="53" t="s">
        <v>3</v>
      </c>
      <c r="F11" s="52">
        <f t="shared" ref="F11:F16" si="0">IFERROR(D11/C11,0)</f>
        <v>122764.2</v>
      </c>
      <c r="G11" s="53" t="s">
        <v>3</v>
      </c>
      <c r="H11" s="51">
        <v>0</v>
      </c>
      <c r="I11" s="53" t="s">
        <v>3</v>
      </c>
      <c r="J11" s="51">
        <v>0</v>
      </c>
      <c r="K11" s="53" t="s">
        <v>3</v>
      </c>
      <c r="L11" s="1"/>
    </row>
    <row r="12" spans="1:12" x14ac:dyDescent="0.25">
      <c r="A12" s="1"/>
      <c r="B12" s="54" t="s">
        <v>240</v>
      </c>
      <c r="C12" s="50">
        <v>20</v>
      </c>
      <c r="D12" s="51">
        <v>39257</v>
      </c>
      <c r="E12" s="53" t="s">
        <v>3</v>
      </c>
      <c r="F12" s="52">
        <f t="shared" si="0"/>
        <v>1962.85</v>
      </c>
      <c r="G12" s="53" t="s">
        <v>3</v>
      </c>
      <c r="H12" s="51">
        <v>0</v>
      </c>
      <c r="I12" s="53" t="s">
        <v>3</v>
      </c>
      <c r="J12" s="51">
        <v>0</v>
      </c>
      <c r="K12" s="53" t="s">
        <v>3</v>
      </c>
      <c r="L12" s="1"/>
    </row>
    <row r="13" spans="1:12" x14ac:dyDescent="0.25">
      <c r="A13" s="1"/>
      <c r="B13" s="54" t="s">
        <v>240</v>
      </c>
      <c r="C13" s="50">
        <v>20</v>
      </c>
      <c r="D13" s="51">
        <v>966164</v>
      </c>
      <c r="E13" s="53" t="s">
        <v>3</v>
      </c>
      <c r="F13" s="52">
        <f t="shared" si="0"/>
        <v>48308.2</v>
      </c>
      <c r="G13" s="53" t="s">
        <v>3</v>
      </c>
      <c r="H13" s="51">
        <v>0</v>
      </c>
      <c r="I13" s="53" t="s">
        <v>3</v>
      </c>
      <c r="J13" s="51">
        <v>0</v>
      </c>
      <c r="K13" s="53" t="s">
        <v>3</v>
      </c>
      <c r="L13" s="1"/>
    </row>
    <row r="14" spans="1:12" ht="26.25" x14ac:dyDescent="0.25">
      <c r="A14" s="1"/>
      <c r="B14" s="54" t="s">
        <v>241</v>
      </c>
      <c r="C14" s="50">
        <v>10</v>
      </c>
      <c r="D14" s="51">
        <v>682848</v>
      </c>
      <c r="E14" s="53" t="s">
        <v>3</v>
      </c>
      <c r="F14" s="52">
        <f t="shared" si="0"/>
        <v>68284.800000000003</v>
      </c>
      <c r="G14" s="53" t="s">
        <v>3</v>
      </c>
      <c r="H14" s="51">
        <v>0</v>
      </c>
      <c r="I14" s="53" t="s">
        <v>3</v>
      </c>
      <c r="J14" s="51">
        <v>0</v>
      </c>
      <c r="K14" s="53" t="s">
        <v>3</v>
      </c>
      <c r="L14" s="1"/>
    </row>
    <row r="15" spans="1:12" ht="26.25" x14ac:dyDescent="0.25">
      <c r="A15" s="1"/>
      <c r="B15" s="54" t="s">
        <v>242</v>
      </c>
      <c r="C15" s="50">
        <v>15</v>
      </c>
      <c r="D15" s="51">
        <v>284369</v>
      </c>
      <c r="E15" s="53" t="s">
        <v>3</v>
      </c>
      <c r="F15" s="52">
        <f t="shared" si="0"/>
        <v>18957.933333333334</v>
      </c>
      <c r="G15" s="53" t="s">
        <v>3</v>
      </c>
      <c r="H15" s="51">
        <v>0</v>
      </c>
      <c r="I15" s="53" t="s">
        <v>3</v>
      </c>
      <c r="J15" s="51">
        <v>0</v>
      </c>
      <c r="K15" s="53" t="s">
        <v>3</v>
      </c>
      <c r="L15" s="1"/>
    </row>
    <row r="16" spans="1:12" ht="39" x14ac:dyDescent="0.25">
      <c r="A16" s="1"/>
      <c r="B16" s="54" t="s">
        <v>243</v>
      </c>
      <c r="C16" s="50">
        <v>30</v>
      </c>
      <c r="D16" s="51">
        <v>2150970</v>
      </c>
      <c r="E16" s="53" t="s">
        <v>3</v>
      </c>
      <c r="F16" s="52">
        <f t="shared" si="0"/>
        <v>71699</v>
      </c>
      <c r="G16" s="53" t="s">
        <v>3</v>
      </c>
      <c r="H16" s="51">
        <v>0</v>
      </c>
      <c r="I16" s="53" t="s">
        <v>3</v>
      </c>
      <c r="J16" s="51">
        <v>0</v>
      </c>
      <c r="K16" s="53" t="s">
        <v>3</v>
      </c>
      <c r="L16" s="1"/>
    </row>
    <row r="17" spans="1:12" ht="26.25" x14ac:dyDescent="0.25">
      <c r="A17" s="1"/>
      <c r="B17" s="54" t="s">
        <v>244</v>
      </c>
      <c r="C17" s="50">
        <v>75</v>
      </c>
      <c r="D17" s="51">
        <v>2592623</v>
      </c>
      <c r="E17" s="53" t="s">
        <v>3</v>
      </c>
      <c r="F17" s="52">
        <f>IFERROR(D17/C17,0)</f>
        <v>34568.306666666664</v>
      </c>
      <c r="G17" s="53" t="s">
        <v>3</v>
      </c>
      <c r="H17" s="51">
        <v>0</v>
      </c>
      <c r="I17" s="53" t="s">
        <v>3</v>
      </c>
      <c r="J17" s="51">
        <v>0</v>
      </c>
      <c r="K17" s="53" t="s">
        <v>3</v>
      </c>
      <c r="L17" s="1"/>
    </row>
    <row r="18" spans="1:12" x14ac:dyDescent="0.25">
      <c r="A18" s="1"/>
      <c r="B18" s="72" t="s">
        <v>193</v>
      </c>
      <c r="C18" s="73"/>
      <c r="D18" s="19"/>
      <c r="E18" s="78"/>
      <c r="F18" s="12">
        <f>SUM(F10:F17)</f>
        <v>410342.69</v>
      </c>
      <c r="G18" s="13" t="s">
        <v>3</v>
      </c>
      <c r="H18" s="12">
        <f>SUM(H10:H17)</f>
        <v>0</v>
      </c>
      <c r="I18" s="13" t="s">
        <v>3</v>
      </c>
      <c r="J18" s="12">
        <f>SUM(J10:J17)</f>
        <v>0</v>
      </c>
      <c r="K18" s="13"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59"/>
      <c r="B44" s="59"/>
      <c r="C44" s="59"/>
      <c r="D44" s="59"/>
      <c r="E44" s="59"/>
      <c r="F44" s="59"/>
      <c r="G44" s="59"/>
      <c r="H44" s="59"/>
      <c r="I44" s="59"/>
      <c r="J44" s="59"/>
      <c r="K44" s="59"/>
      <c r="L44" s="59"/>
    </row>
    <row r="45" spans="1:12" x14ac:dyDescent="0.25">
      <c r="A45" s="59"/>
      <c r="B45" s="59"/>
      <c r="C45" s="59"/>
      <c r="D45" s="59"/>
      <c r="E45" s="59"/>
      <c r="F45" s="59"/>
      <c r="G45" s="59"/>
      <c r="H45" s="59"/>
      <c r="I45" s="59"/>
      <c r="J45" s="59"/>
      <c r="K45" s="59"/>
      <c r="L45" s="59"/>
    </row>
    <row r="46" spans="1:12" x14ac:dyDescent="0.25">
      <c r="A46" s="59"/>
      <c r="B46" s="59"/>
      <c r="C46" s="59"/>
      <c r="D46" s="59"/>
      <c r="E46" s="59"/>
      <c r="F46" s="59"/>
      <c r="G46" s="59"/>
      <c r="H46" s="59"/>
      <c r="I46" s="59"/>
      <c r="J46" s="59"/>
      <c r="K46" s="59"/>
      <c r="L46" s="59"/>
    </row>
    <row r="47" spans="1:12" x14ac:dyDescent="0.25">
      <c r="A47" s="59"/>
      <c r="B47" s="59"/>
      <c r="C47" s="59"/>
      <c r="D47" s="59"/>
      <c r="E47" s="59"/>
      <c r="F47" s="59"/>
      <c r="G47" s="59"/>
      <c r="H47" s="59"/>
      <c r="I47" s="59"/>
      <c r="J47" s="59"/>
      <c r="K47" s="59"/>
      <c r="L47" s="59"/>
    </row>
    <row r="48" spans="1:12" x14ac:dyDescent="0.25">
      <c r="A48" s="59"/>
      <c r="B48" s="59"/>
      <c r="C48" s="59"/>
      <c r="D48" s="59"/>
      <c r="E48" s="59"/>
      <c r="F48" s="59"/>
      <c r="G48" s="59"/>
      <c r="H48" s="59"/>
      <c r="I48" s="59"/>
      <c r="J48" s="59"/>
      <c r="K48" s="59"/>
      <c r="L48" s="59"/>
    </row>
    <row r="49" spans="1:12" x14ac:dyDescent="0.25">
      <c r="A49" s="59"/>
      <c r="B49" s="59"/>
      <c r="C49" s="59"/>
      <c r="D49" s="59"/>
      <c r="E49" s="59"/>
      <c r="F49" s="59"/>
      <c r="G49" s="59"/>
      <c r="H49" s="59"/>
      <c r="I49" s="59"/>
      <c r="J49" s="59"/>
      <c r="K49" s="59"/>
      <c r="L49" s="59"/>
    </row>
    <row r="50" spans="1:12" x14ac:dyDescent="0.25">
      <c r="A50" s="59"/>
      <c r="B50" s="59"/>
      <c r="C50" s="59"/>
      <c r="D50" s="59"/>
      <c r="E50" s="59"/>
      <c r="F50" s="59"/>
      <c r="G50" s="59"/>
      <c r="H50" s="59"/>
      <c r="I50" s="59"/>
      <c r="J50" s="59"/>
      <c r="K50" s="59"/>
      <c r="L50" s="59"/>
    </row>
    <row r="51" spans="1:12" x14ac:dyDescent="0.25">
      <c r="A51" s="59"/>
      <c r="B51" s="59"/>
      <c r="C51" s="59"/>
      <c r="D51" s="59"/>
      <c r="E51" s="59"/>
      <c r="F51" s="59"/>
      <c r="G51" s="59"/>
      <c r="H51" s="59"/>
      <c r="I51" s="59"/>
      <c r="J51" s="59"/>
      <c r="K51" s="59"/>
      <c r="L51" s="59"/>
    </row>
    <row r="52" spans="1:12" x14ac:dyDescent="0.25">
      <c r="A52" s="59"/>
      <c r="B52" s="59"/>
      <c r="C52" s="59"/>
      <c r="D52" s="59"/>
      <c r="E52" s="59"/>
      <c r="F52" s="59"/>
      <c r="G52" s="59"/>
      <c r="H52" s="59"/>
      <c r="I52" s="59"/>
      <c r="J52" s="59"/>
      <c r="K52" s="59"/>
      <c r="L52" s="59"/>
    </row>
    <row r="53" spans="1:12" x14ac:dyDescent="0.25">
      <c r="A53" s="59"/>
      <c r="B53" s="59"/>
      <c r="C53" s="59"/>
      <c r="D53" s="59"/>
      <c r="E53" s="59"/>
      <c r="F53" s="59"/>
      <c r="G53" s="59"/>
      <c r="H53" s="59"/>
      <c r="I53" s="59"/>
      <c r="J53" s="59"/>
      <c r="K53" s="59"/>
      <c r="L53" s="59"/>
    </row>
  </sheetData>
  <sheetProtection algorithmName="SHA-512" hashValue="1VAjXDHBRC7WypJtk2R/HRKDF4cCHMcG72FXpS9OtTVfudxgJhfk0W9t4JD3YPLUghyymv+Ft4kNW/SHxnIRgQ==" saltValue="lRBI7/QyJR76uraWts/hS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221</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75</v>
      </c>
      <c r="C8" s="73"/>
      <c r="D8" s="73"/>
      <c r="E8" s="73"/>
      <c r="F8" s="19"/>
      <c r="G8" s="1"/>
    </row>
    <row r="9" spans="1:7" ht="17.25" customHeight="1" x14ac:dyDescent="0.25">
      <c r="A9" s="1"/>
      <c r="B9" s="70" t="s">
        <v>15</v>
      </c>
      <c r="C9" s="70" t="s">
        <v>10</v>
      </c>
      <c r="D9" s="71"/>
      <c r="E9" s="70" t="s">
        <v>29</v>
      </c>
      <c r="F9" s="75"/>
      <c r="G9" s="1"/>
    </row>
    <row r="10" spans="1:7" x14ac:dyDescent="0.25">
      <c r="A10" s="1"/>
      <c r="B10" s="22" t="s">
        <v>203</v>
      </c>
      <c r="C10" s="21">
        <f>'Fane 9. Anlægsprojekter (§ 19) '!H18</f>
        <v>0</v>
      </c>
      <c r="D10" s="14" t="s">
        <v>3</v>
      </c>
      <c r="E10" s="9">
        <f>'Fane 9. Anlægsprojekter (§ 19) '!F18+'Fane 9. Anlægsprojekter (§ 19) '!J18</f>
        <v>410342.69</v>
      </c>
      <c r="F10" s="14" t="s">
        <v>3</v>
      </c>
      <c r="G10" s="1"/>
    </row>
    <row r="11" spans="1:7" x14ac:dyDescent="0.25">
      <c r="A11" s="1"/>
      <c r="B11" s="26" t="s">
        <v>262</v>
      </c>
      <c r="C11" s="21">
        <v>733502</v>
      </c>
      <c r="D11" s="14" t="s">
        <v>3</v>
      </c>
      <c r="E11" s="9">
        <v>572397</v>
      </c>
      <c r="F11" s="14" t="s">
        <v>3</v>
      </c>
      <c r="G11" s="1"/>
    </row>
    <row r="12" spans="1:7" x14ac:dyDescent="0.25">
      <c r="A12" s="1"/>
      <c r="B12" s="26" t="s">
        <v>264</v>
      </c>
      <c r="C12" s="21">
        <v>0</v>
      </c>
      <c r="D12" s="14" t="s">
        <v>3</v>
      </c>
      <c r="E12" s="9">
        <v>171984</v>
      </c>
      <c r="F12" s="14" t="s">
        <v>3</v>
      </c>
      <c r="G12" s="1"/>
    </row>
    <row r="13" spans="1:7" x14ac:dyDescent="0.25">
      <c r="A13" s="1"/>
      <c r="B13" s="72" t="s">
        <v>148</v>
      </c>
      <c r="C13" s="12">
        <f>SUM(C10:C12)</f>
        <v>733502</v>
      </c>
      <c r="D13" s="13" t="s">
        <v>3</v>
      </c>
      <c r="E13" s="12">
        <f>SUM(E10:E12)</f>
        <v>1154723.69</v>
      </c>
      <c r="F13" s="13" t="s">
        <v>3</v>
      </c>
      <c r="G13" s="1"/>
    </row>
    <row r="14" spans="1:7" x14ac:dyDescent="0.25">
      <c r="A14" s="1"/>
      <c r="B14" s="72" t="s">
        <v>188</v>
      </c>
      <c r="C14" s="12">
        <f>C13*(1+'Fane 13. Nøgletal'!C15)</f>
        <v>759614.6712000001</v>
      </c>
      <c r="D14" s="13" t="s">
        <v>3</v>
      </c>
      <c r="E14" s="12">
        <f>E13*(1+'Fane 13. Nøgletal'!C15)</f>
        <v>1195831.8533640001</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59"/>
      <c r="B52" s="59"/>
      <c r="C52" s="59"/>
      <c r="D52" s="59"/>
      <c r="E52" s="59"/>
      <c r="F52" s="59"/>
      <c r="G52" s="59"/>
    </row>
    <row r="53" spans="1:7" x14ac:dyDescent="0.25">
      <c r="A53" s="59"/>
      <c r="B53" s="59"/>
      <c r="C53" s="59"/>
      <c r="D53" s="59"/>
      <c r="E53" s="59"/>
      <c r="F53" s="59"/>
      <c r="G53" s="59"/>
    </row>
    <row r="54" spans="1:7" x14ac:dyDescent="0.25">
      <c r="A54" s="59"/>
      <c r="B54" s="59"/>
      <c r="C54" s="59"/>
      <c r="D54" s="59"/>
      <c r="E54" s="59"/>
      <c r="F54" s="59"/>
      <c r="G54" s="59"/>
    </row>
    <row r="55" spans="1:7" x14ac:dyDescent="0.25">
      <c r="A55" s="59"/>
      <c r="B55" s="59"/>
      <c r="C55" s="59"/>
      <c r="D55" s="59"/>
      <c r="E55" s="59"/>
      <c r="F55" s="59"/>
      <c r="G55" s="59"/>
    </row>
    <row r="56" spans="1:7" x14ac:dyDescent="0.25">
      <c r="A56" s="59"/>
      <c r="B56" s="59"/>
      <c r="C56" s="59"/>
      <c r="D56" s="59"/>
      <c r="E56" s="59"/>
      <c r="F56" s="59"/>
      <c r="G56" s="59"/>
    </row>
  </sheetData>
  <sheetProtection algorithmName="SHA-512" hashValue="em9WioZq8IMoNjRiPwkCF6rP1h9cNxY1OriaPKcW+GN0JcaNioxALEi7RIyTwbT6ZyUiUwHr7t4GqG0lMW40FQ==" saltValue="Vm5t3QkCeFdxAmMYjec+G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70" t="s">
        <v>15</v>
      </c>
      <c r="C10" s="70" t="s">
        <v>10</v>
      </c>
      <c r="D10" s="71"/>
      <c r="E10" s="70" t="s">
        <v>29</v>
      </c>
      <c r="F10" s="75"/>
      <c r="G10" s="1"/>
    </row>
    <row r="11" spans="1:7" x14ac:dyDescent="0.25">
      <c r="A11" s="1"/>
      <c r="B11" s="22" t="s">
        <v>245</v>
      </c>
      <c r="C11" s="21">
        <v>119450</v>
      </c>
      <c r="D11" s="14" t="s">
        <v>3</v>
      </c>
      <c r="E11" s="9">
        <v>0</v>
      </c>
      <c r="F11" s="14" t="s">
        <v>3</v>
      </c>
      <c r="G11" s="1"/>
    </row>
    <row r="12" spans="1:7" x14ac:dyDescent="0.25">
      <c r="A12" s="1"/>
      <c r="B12" s="72" t="s">
        <v>195</v>
      </c>
      <c r="C12" s="12">
        <f>SUM(C11:C11)</f>
        <v>119450</v>
      </c>
      <c r="D12" s="13" t="s">
        <v>3</v>
      </c>
      <c r="E12" s="12">
        <f>SUM(E11:E11)</f>
        <v>0</v>
      </c>
      <c r="F12" s="13" t="s">
        <v>3</v>
      </c>
      <c r="G12" s="1"/>
    </row>
    <row r="13" spans="1:7" x14ac:dyDescent="0.25">
      <c r="A13" s="1"/>
      <c r="B13" s="72" t="s">
        <v>119</v>
      </c>
      <c r="C13" s="12">
        <f>C12*(1+'Fane 13. Nøgletal'!$C$15)^2</f>
        <v>128106.22615200002</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PkbOW2VDZQSwQiyGfICI2k4lQI+5iwjyzerB0t6zlt4LP0mYKMLj7RctUBeSUgjT69VDZ38rMDx04zLl9c8SbQ==" saltValue="xML2I5Dbyj0QshjswnMkd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223</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74" t="s">
        <v>113</v>
      </c>
      <c r="C9" s="122" t="s">
        <v>10</v>
      </c>
      <c r="D9" s="124"/>
      <c r="E9" s="122" t="s">
        <v>29</v>
      </c>
      <c r="F9" s="124"/>
      <c r="G9" s="1"/>
    </row>
    <row r="10" spans="1:7" x14ac:dyDescent="0.25">
      <c r="A10" s="1"/>
      <c r="B10" s="22" t="s">
        <v>251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hUnzbVlIXbGFXa/5J9y76lRefIXA7RzT0t1Q4TQGtB8Pi/WUWQOS0lUhsXkEW9cntnAhk2EcWwspS5aIj5lmPQ==" saltValue="Tvu4TOfwT2Xh823TWtLHW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224</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74" t="s">
        <v>16</v>
      </c>
      <c r="C11" s="74" t="s">
        <v>10</v>
      </c>
      <c r="D11" s="75"/>
      <c r="E11" s="74" t="s">
        <v>29</v>
      </c>
      <c r="F11" s="75"/>
      <c r="G11" s="1"/>
    </row>
    <row r="12" spans="1:7" x14ac:dyDescent="0.25">
      <c r="A12" s="1"/>
      <c r="B12" s="22" t="s">
        <v>252</v>
      </c>
      <c r="C12" s="9">
        <v>0</v>
      </c>
      <c r="D12" s="14" t="s">
        <v>3</v>
      </c>
      <c r="E12" s="9">
        <v>0</v>
      </c>
      <c r="F12" s="14" t="s">
        <v>3</v>
      </c>
      <c r="G12" s="1"/>
    </row>
    <row r="13" spans="1:7" x14ac:dyDescent="0.25">
      <c r="A13" s="1"/>
      <c r="B13" s="72" t="s">
        <v>196</v>
      </c>
      <c r="C13" s="12">
        <f>SUM(C12:C12)</f>
        <v>0</v>
      </c>
      <c r="D13" s="13" t="s">
        <v>3</v>
      </c>
      <c r="E13" s="12">
        <f>SUM(E12:E12)</f>
        <v>0</v>
      </c>
      <c r="F13" s="13" t="s">
        <v>3</v>
      </c>
      <c r="G13" s="1"/>
    </row>
    <row r="14" spans="1:7" x14ac:dyDescent="0.25">
      <c r="A14" s="1"/>
      <c r="B14" s="72"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euvtGCdsrSLIXEN6VJf6qy/ZHTX9ak+l1iKpJjI62RkDSab0IssB8vyRMolA4jJyWjDwJ/Alk8r1nrTFmV1I0Q==" saltValue="vVMtTMzxKnP63oh+0uKNf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7" customWidth="1"/>
    <col min="4" max="4" width="9" style="2" customWidth="1"/>
    <col min="5" max="16384" width="9.140625" style="2"/>
  </cols>
  <sheetData>
    <row r="1" spans="1:4" x14ac:dyDescent="0.25">
      <c r="A1" s="1"/>
      <c r="B1" s="1"/>
      <c r="C1" s="42"/>
      <c r="D1" s="1"/>
    </row>
    <row r="2" spans="1:4" x14ac:dyDescent="0.25">
      <c r="A2" s="1"/>
      <c r="B2" s="1"/>
      <c r="C2" s="42"/>
      <c r="D2" s="1"/>
    </row>
    <row r="3" spans="1:4" ht="15" customHeight="1" x14ac:dyDescent="0.25">
      <c r="A3" s="1"/>
      <c r="B3" s="112" t="s">
        <v>225</v>
      </c>
      <c r="C3" s="112"/>
      <c r="D3" s="1"/>
    </row>
    <row r="4" spans="1:4" ht="25.5" customHeight="1" x14ac:dyDescent="0.25">
      <c r="A4" s="1"/>
      <c r="B4" s="112"/>
      <c r="C4" s="112"/>
      <c r="D4" s="1"/>
    </row>
    <row r="5" spans="1:4" x14ac:dyDescent="0.25">
      <c r="A5" s="1"/>
      <c r="B5" s="1"/>
      <c r="C5" s="42"/>
      <c r="D5" s="1"/>
    </row>
    <row r="6" spans="1:4" x14ac:dyDescent="0.25">
      <c r="A6" s="1"/>
      <c r="B6" s="1"/>
      <c r="C6" s="42"/>
      <c r="D6" s="1"/>
    </row>
    <row r="7" spans="1:4" x14ac:dyDescent="0.25">
      <c r="A7" s="1"/>
      <c r="B7" s="1"/>
      <c r="C7" s="42"/>
      <c r="D7" s="1"/>
    </row>
    <row r="8" spans="1:4" x14ac:dyDescent="0.25">
      <c r="A8" s="1"/>
      <c r="B8" s="72" t="s">
        <v>13</v>
      </c>
      <c r="C8" s="43"/>
      <c r="D8" s="1"/>
    </row>
    <row r="9" spans="1:4" x14ac:dyDescent="0.25">
      <c r="A9" s="1"/>
      <c r="B9" s="84" t="s">
        <v>101</v>
      </c>
      <c r="C9" s="44">
        <v>1.2699999999999999E-2</v>
      </c>
      <c r="D9" s="1"/>
    </row>
    <row r="10" spans="1:4" x14ac:dyDescent="0.25">
      <c r="A10" s="1"/>
      <c r="B10" s="84" t="s">
        <v>21</v>
      </c>
      <c r="C10" s="44">
        <v>1.7500000000000002E-2</v>
      </c>
      <c r="D10" s="1"/>
    </row>
    <row r="11" spans="1:4" x14ac:dyDescent="0.25">
      <c r="A11" s="1"/>
      <c r="B11" s="84" t="s">
        <v>102</v>
      </c>
      <c r="C11" s="44">
        <v>1.6899999999999998E-2</v>
      </c>
      <c r="D11" s="1"/>
    </row>
    <row r="12" spans="1:4" x14ac:dyDescent="0.25">
      <c r="A12" s="1"/>
      <c r="B12" s="24" t="s">
        <v>37</v>
      </c>
      <c r="C12" s="45">
        <v>1.9699999999999999E-2</v>
      </c>
      <c r="D12" s="1"/>
    </row>
    <row r="13" spans="1:4" x14ac:dyDescent="0.25">
      <c r="A13" s="1"/>
      <c r="B13" s="24" t="s">
        <v>118</v>
      </c>
      <c r="C13" s="45">
        <v>1.2200000000000001E-2</v>
      </c>
      <c r="D13" s="1"/>
    </row>
    <row r="14" spans="1:4" x14ac:dyDescent="0.25">
      <c r="A14" s="1"/>
      <c r="B14" s="24" t="s">
        <v>150</v>
      </c>
      <c r="C14" s="46">
        <v>3.3E-3</v>
      </c>
      <c r="D14" s="1"/>
    </row>
    <row r="15" spans="1:4" x14ac:dyDescent="0.25">
      <c r="A15" s="1"/>
      <c r="B15" s="24" t="s">
        <v>190</v>
      </c>
      <c r="C15" s="46">
        <v>3.56E-2</v>
      </c>
      <c r="D15" s="1"/>
    </row>
    <row r="16" spans="1:4" x14ac:dyDescent="0.25">
      <c r="A16" s="1"/>
      <c r="B16" s="127"/>
      <c r="C16" s="129"/>
      <c r="D16" s="1"/>
    </row>
    <row r="17" spans="1:4" x14ac:dyDescent="0.25">
      <c r="A17" s="1"/>
      <c r="B17" s="1"/>
      <c r="C17" s="42"/>
      <c r="D17" s="1"/>
    </row>
    <row r="18" spans="1:4" x14ac:dyDescent="0.25">
      <c r="A18" s="1"/>
      <c r="B18" s="1"/>
      <c r="C18" s="42"/>
      <c r="D18" s="1"/>
    </row>
    <row r="19" spans="1:4" x14ac:dyDescent="0.25">
      <c r="A19" s="1"/>
      <c r="B19" s="72" t="s">
        <v>89</v>
      </c>
      <c r="C19" s="43"/>
      <c r="D19" s="1"/>
    </row>
    <row r="20" spans="1:4" x14ac:dyDescent="0.25">
      <c r="A20" s="1"/>
      <c r="B20" s="84" t="s">
        <v>103</v>
      </c>
      <c r="C20" s="46">
        <v>9.1000000000000004E-3</v>
      </c>
      <c r="D20" s="1"/>
    </row>
    <row r="21" spans="1:4" x14ac:dyDescent="0.25">
      <c r="A21" s="1"/>
      <c r="B21" s="84" t="s">
        <v>104</v>
      </c>
      <c r="C21" s="46">
        <v>1.77E-2</v>
      </c>
      <c r="D21" s="1"/>
    </row>
    <row r="22" spans="1:4" x14ac:dyDescent="0.25">
      <c r="A22" s="1"/>
      <c r="B22" s="84" t="s">
        <v>105</v>
      </c>
      <c r="C22" s="46">
        <v>8.6999999999999994E-3</v>
      </c>
      <c r="D22" s="1"/>
    </row>
    <row r="23" spans="1:4" x14ac:dyDescent="0.25">
      <c r="A23" s="1"/>
      <c r="B23" s="84" t="s">
        <v>106</v>
      </c>
      <c r="C23" s="46">
        <v>2.8399999999999998E-2</v>
      </c>
      <c r="D23" s="1"/>
    </row>
    <row r="24" spans="1:4" x14ac:dyDescent="0.25">
      <c r="A24" s="1"/>
      <c r="B24" s="84" t="s">
        <v>120</v>
      </c>
      <c r="C24" s="46">
        <v>2.75E-2</v>
      </c>
      <c r="D24" s="1"/>
    </row>
    <row r="25" spans="1:4" x14ac:dyDescent="0.25">
      <c r="A25" s="1"/>
      <c r="B25" s="84" t="s">
        <v>151</v>
      </c>
      <c r="C25" s="46">
        <v>1.4800000000000001E-2</v>
      </c>
      <c r="D25" s="1"/>
    </row>
    <row r="26" spans="1:4" x14ac:dyDescent="0.25">
      <c r="A26" s="1"/>
      <c r="B26" s="24" t="s">
        <v>191</v>
      </c>
      <c r="C26" s="46">
        <v>0</v>
      </c>
      <c r="D26" s="1"/>
    </row>
    <row r="27" spans="1:4" x14ac:dyDescent="0.25">
      <c r="A27" s="1"/>
      <c r="B27" s="72"/>
      <c r="C27" s="43"/>
      <c r="D27" s="1"/>
    </row>
    <row r="28" spans="1:4" x14ac:dyDescent="0.25">
      <c r="A28" s="1"/>
      <c r="B28" s="1"/>
      <c r="C28" s="42"/>
      <c r="D28" s="1"/>
    </row>
    <row r="29" spans="1:4" x14ac:dyDescent="0.25">
      <c r="A29" s="1"/>
      <c r="B29" s="1"/>
      <c r="C29" s="42"/>
      <c r="D29" s="1"/>
    </row>
    <row r="30" spans="1:4" x14ac:dyDescent="0.25">
      <c r="A30" s="1"/>
      <c r="B30" s="72" t="s">
        <v>90</v>
      </c>
      <c r="C30" s="43"/>
      <c r="D30" s="1"/>
    </row>
    <row r="31" spans="1:4" x14ac:dyDescent="0.25">
      <c r="A31" s="1"/>
      <c r="B31" s="84" t="s">
        <v>107</v>
      </c>
      <c r="C31" s="44">
        <v>0.02</v>
      </c>
      <c r="D31" s="1"/>
    </row>
    <row r="32" spans="1:4" x14ac:dyDescent="0.25">
      <c r="A32" s="1"/>
      <c r="B32" s="72"/>
      <c r="C32" s="43"/>
      <c r="D32" s="1"/>
    </row>
    <row r="33" spans="1:4" x14ac:dyDescent="0.25">
      <c r="A33" s="1"/>
      <c r="B33" s="1"/>
      <c r="C33" s="42"/>
      <c r="D33" s="1"/>
    </row>
    <row r="34" spans="1:4" x14ac:dyDescent="0.25">
      <c r="A34" s="1"/>
      <c r="B34" s="1"/>
      <c r="C34" s="42"/>
      <c r="D34" s="1"/>
    </row>
    <row r="35" spans="1:4" x14ac:dyDescent="0.25">
      <c r="A35" s="1"/>
      <c r="B35" s="1"/>
      <c r="C35" s="42"/>
      <c r="D35" s="1"/>
    </row>
    <row r="36" spans="1:4" x14ac:dyDescent="0.25">
      <c r="A36" s="1"/>
      <c r="B36" s="1"/>
      <c r="C36" s="42"/>
      <c r="D36" s="1"/>
    </row>
    <row r="37" spans="1:4" x14ac:dyDescent="0.25">
      <c r="A37" s="1"/>
      <c r="B37" s="1"/>
      <c r="C37" s="42"/>
      <c r="D37" s="1"/>
    </row>
    <row r="38" spans="1:4" x14ac:dyDescent="0.25">
      <c r="A38" s="1"/>
      <c r="B38" s="1"/>
      <c r="C38" s="42"/>
      <c r="D38" s="1"/>
    </row>
    <row r="39" spans="1:4" x14ac:dyDescent="0.25">
      <c r="A39" s="1"/>
      <c r="B39" s="1"/>
      <c r="C39" s="42"/>
      <c r="D39" s="1"/>
    </row>
    <row r="40" spans="1:4" x14ac:dyDescent="0.25">
      <c r="A40" s="1"/>
      <c r="B40" s="1"/>
      <c r="C40" s="42"/>
      <c r="D40" s="1"/>
    </row>
    <row r="41" spans="1:4" x14ac:dyDescent="0.25">
      <c r="A41" s="1"/>
      <c r="B41" s="1"/>
      <c r="C41" s="42"/>
      <c r="D41" s="1"/>
    </row>
    <row r="42" spans="1:4" x14ac:dyDescent="0.25">
      <c r="A42" s="1"/>
      <c r="B42" s="1"/>
      <c r="C42" s="42"/>
      <c r="D42" s="1"/>
    </row>
    <row r="43" spans="1:4" x14ac:dyDescent="0.25">
      <c r="A43" s="1"/>
      <c r="B43" s="1"/>
      <c r="C43" s="42"/>
      <c r="D43" s="1"/>
    </row>
    <row r="44" spans="1:4" x14ac:dyDescent="0.25">
      <c r="A44" s="1"/>
      <c r="B44" s="1"/>
      <c r="C44" s="42"/>
      <c r="D44" s="1"/>
    </row>
    <row r="45" spans="1:4" x14ac:dyDescent="0.25">
      <c r="A45" s="1"/>
      <c r="B45" s="1"/>
      <c r="C45" s="42"/>
      <c r="D45" s="1"/>
    </row>
    <row r="46" spans="1:4" x14ac:dyDescent="0.25">
      <c r="A46" s="1"/>
      <c r="B46" s="1"/>
      <c r="C46" s="42"/>
      <c r="D46" s="1"/>
    </row>
    <row r="47" spans="1:4" x14ac:dyDescent="0.25">
      <c r="A47" s="1"/>
      <c r="B47" s="1"/>
      <c r="C47" s="42"/>
      <c r="D47" s="1"/>
    </row>
    <row r="48" spans="1:4" x14ac:dyDescent="0.25">
      <c r="A48" s="1"/>
      <c r="B48" s="1"/>
      <c r="C48" s="42"/>
      <c r="D48" s="1"/>
    </row>
    <row r="49" spans="1:4" x14ac:dyDescent="0.25">
      <c r="A49" s="1"/>
      <c r="B49" s="1"/>
      <c r="C49" s="42"/>
      <c r="D49" s="1"/>
    </row>
    <row r="50" spans="1:4" x14ac:dyDescent="0.25">
      <c r="A50" s="59"/>
      <c r="B50" s="59"/>
      <c r="C50" s="68"/>
      <c r="D50" s="59"/>
    </row>
    <row r="51" spans="1:4" x14ac:dyDescent="0.25">
      <c r="A51" s="59"/>
      <c r="B51" s="59"/>
      <c r="C51" s="68"/>
      <c r="D51" s="59"/>
    </row>
    <row r="52" spans="1:4" x14ac:dyDescent="0.25">
      <c r="A52" s="59"/>
      <c r="B52" s="59"/>
      <c r="C52" s="68"/>
      <c r="D52" s="59"/>
    </row>
    <row r="53" spans="1:4" x14ac:dyDescent="0.25">
      <c r="A53" s="59"/>
      <c r="B53" s="59"/>
      <c r="C53" s="68"/>
      <c r="D53" s="59"/>
    </row>
  </sheetData>
  <sheetProtection algorithmName="SHA-512" hashValue="SAQICCX6W3y40rr2CPGbQuE+5A1BF/yzfQltp7amBatoEOCgUU5wc9h8EQgscAHBw9ksN1UnnLnkPKpzgT9ucA==" saltValue="yBh29mcBa8dm5o0xxLtdD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72" t="s">
        <v>12</v>
      </c>
      <c r="C7" s="73"/>
      <c r="D7" s="19"/>
      <c r="E7" s="1"/>
    </row>
    <row r="8" spans="1:5" x14ac:dyDescent="0.25">
      <c r="A8" s="1"/>
      <c r="B8" s="80" t="s">
        <v>116</v>
      </c>
      <c r="C8" s="7">
        <f>'Fane 3. Omkostninger i ØR2022'!E20</f>
        <v>27316361.873464793</v>
      </c>
      <c r="D8" s="8" t="s">
        <v>3</v>
      </c>
      <c r="E8" s="1"/>
    </row>
    <row r="9" spans="1:5" ht="17.100000000000001" customHeight="1" x14ac:dyDescent="0.25">
      <c r="A9" s="1"/>
      <c r="B9" s="23" t="s">
        <v>35</v>
      </c>
      <c r="C9" s="7">
        <f>'Fane 10.1. Varige tillæg'!C14</f>
        <v>759614.6712000001</v>
      </c>
      <c r="D9" s="8" t="s">
        <v>3</v>
      </c>
      <c r="E9" s="1"/>
    </row>
    <row r="10" spans="1:5" ht="17.100000000000001" customHeight="1" x14ac:dyDescent="0.25">
      <c r="A10" s="1"/>
      <c r="B10" s="23" t="s">
        <v>36</v>
      </c>
      <c r="C10" s="9">
        <f>'Fane 10.1. Varige tillæg'!E14</f>
        <v>1195831.8533640001</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1042076.378969825</v>
      </c>
      <c r="D15" s="8" t="s">
        <v>3</v>
      </c>
      <c r="E15" s="1"/>
    </row>
    <row r="16" spans="1:5" ht="17.100000000000001" customHeight="1" x14ac:dyDescent="0.25">
      <c r="A16" s="1"/>
      <c r="B16" s="23" t="s">
        <v>9</v>
      </c>
      <c r="C16" s="9">
        <f>-SUM(C8,C9:C15)*'Fane 5. Individuelt eff. krav'!G9</f>
        <v>-606277.6955399724</v>
      </c>
      <c r="D16" s="8" t="s">
        <v>3</v>
      </c>
      <c r="E16" s="1"/>
    </row>
    <row r="17" spans="1:5" ht="17.100000000000001" customHeight="1" x14ac:dyDescent="0.25">
      <c r="A17" s="1"/>
      <c r="B17" s="23" t="s">
        <v>23</v>
      </c>
      <c r="C17" s="9">
        <f>-'Fane 4.1. Gen. krav - drift'!G43</f>
        <v>-246364.23622123891</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5" t="s">
        <v>19</v>
      </c>
      <c r="C19" s="10">
        <f>SUM(C8,C9:C18)</f>
        <v>29461242.845237404</v>
      </c>
      <c r="D19" s="11" t="s">
        <v>3</v>
      </c>
      <c r="E19" s="1"/>
    </row>
    <row r="20" spans="1:5" ht="15" customHeight="1" x14ac:dyDescent="0.25">
      <c r="A20" s="1"/>
      <c r="B20" s="72" t="s">
        <v>11</v>
      </c>
      <c r="C20" s="73"/>
      <c r="D20" s="19"/>
      <c r="E20" s="1"/>
    </row>
    <row r="21" spans="1:5" ht="15" customHeight="1" x14ac:dyDescent="0.25">
      <c r="A21" s="1"/>
      <c r="B21" s="74" t="s">
        <v>11</v>
      </c>
      <c r="C21" s="10">
        <f>'Fane 6. Ikke-påvirkelige omk.'!C19</f>
        <v>33280138.968354724</v>
      </c>
      <c r="D21" s="11" t="s">
        <v>3</v>
      </c>
      <c r="E21" s="1"/>
    </row>
    <row r="22" spans="1:5" ht="15" customHeight="1" x14ac:dyDescent="0.25">
      <c r="A22" s="1"/>
      <c r="B22" s="72" t="s">
        <v>80</v>
      </c>
      <c r="C22" s="73"/>
      <c r="D22" s="19"/>
      <c r="E22" s="1"/>
    </row>
    <row r="23" spans="1:5" ht="15" customHeight="1" x14ac:dyDescent="0.25">
      <c r="A23" s="1"/>
      <c r="B23" s="23" t="s">
        <v>76</v>
      </c>
      <c r="C23" s="9">
        <f>'Fane 10.2. Engangstillæg'!C13</f>
        <v>128106.22615200002</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-5124.2490460800009</v>
      </c>
      <c r="D25" s="8" t="s">
        <v>3</v>
      </c>
      <c r="E25" s="1"/>
    </row>
    <row r="26" spans="1:5" ht="15" customHeight="1" x14ac:dyDescent="0.25">
      <c r="A26" s="1"/>
      <c r="B26" s="23" t="s">
        <v>207</v>
      </c>
      <c r="C26" s="9">
        <f>-C24*('Fane 13. Nøgletal'!C26+'Fane 5. Individuelt eff. krav'!G9)</f>
        <v>0</v>
      </c>
      <c r="D26" s="8" t="s">
        <v>3</v>
      </c>
      <c r="E26" s="1"/>
    </row>
    <row r="27" spans="1:5" x14ac:dyDescent="0.25">
      <c r="A27" s="1"/>
      <c r="B27" s="55" t="s">
        <v>81</v>
      </c>
      <c r="C27" s="48">
        <f>SUM(C23:C26)</f>
        <v>122981.97710592001</v>
      </c>
      <c r="D27" s="11" t="s">
        <v>3</v>
      </c>
      <c r="E27" s="1"/>
    </row>
    <row r="28" spans="1:5" ht="15" customHeight="1" x14ac:dyDescent="0.25">
      <c r="A28" s="1"/>
      <c r="B28" s="25" t="s">
        <v>128</v>
      </c>
      <c r="C28" s="73"/>
      <c r="D28" s="19"/>
      <c r="E28" s="1"/>
    </row>
    <row r="29" spans="1:5" x14ac:dyDescent="0.25">
      <c r="A29" s="1"/>
      <c r="B29" s="85" t="s">
        <v>129</v>
      </c>
      <c r="C29" s="10">
        <f>'Fane 7. Kontrol af ØR2021'!E31</f>
        <v>-445307.19943533838</v>
      </c>
      <c r="D29" s="11" t="s">
        <v>3</v>
      </c>
      <c r="E29" s="1"/>
    </row>
    <row r="30" spans="1:5" x14ac:dyDescent="0.25">
      <c r="A30" s="1"/>
      <c r="B30" s="25" t="s">
        <v>153</v>
      </c>
      <c r="C30" s="73"/>
      <c r="D30" s="19"/>
      <c r="E30" s="1"/>
    </row>
    <row r="31" spans="1:5" x14ac:dyDescent="0.25">
      <c r="A31" s="1"/>
      <c r="B31" s="85" t="s">
        <v>154</v>
      </c>
      <c r="C31" s="10">
        <f>'Fane 8. Skattesagen'!G12</f>
        <v>0</v>
      </c>
      <c r="D31" s="11" t="s">
        <v>3</v>
      </c>
      <c r="E31" s="1"/>
    </row>
    <row r="32" spans="1:5" x14ac:dyDescent="0.25">
      <c r="A32" s="1"/>
      <c r="B32" s="72" t="s">
        <v>84</v>
      </c>
      <c r="C32" s="35">
        <f>SUM(C19,C21,C27,C29,C31)</f>
        <v>62419056.591262713</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56xhKAvJki+5janZcbn0RuWmNzxpUuapnznzSD5k372o/xh/nUQIDzdk2xCgMkFsxf/ou9M1XoDur46yB7QzA==" saltValue="lsepgqwiv67ukr4Cr548E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166</v>
      </c>
      <c r="C3" s="104"/>
      <c r="D3" s="104"/>
      <c r="E3" s="1"/>
    </row>
    <row r="4" spans="1:5" ht="15" customHeight="1" x14ac:dyDescent="0.25">
      <c r="A4" s="1"/>
      <c r="B4" s="104"/>
      <c r="C4" s="104"/>
      <c r="D4" s="104"/>
      <c r="E4" s="1"/>
    </row>
    <row r="5" spans="1:5" x14ac:dyDescent="0.25">
      <c r="A5" s="1"/>
      <c r="B5" s="105"/>
      <c r="C5" s="105"/>
      <c r="D5" s="105"/>
      <c r="E5" s="1"/>
    </row>
    <row r="6" spans="1:5" x14ac:dyDescent="0.25">
      <c r="A6" s="1"/>
      <c r="B6" s="1"/>
      <c r="C6" s="1"/>
      <c r="D6" s="1"/>
      <c r="E6" s="1"/>
    </row>
    <row r="7" spans="1:5" x14ac:dyDescent="0.25">
      <c r="A7" s="1"/>
      <c r="B7" s="72" t="s">
        <v>12</v>
      </c>
      <c r="C7" s="73"/>
      <c r="D7" s="19"/>
      <c r="E7" s="1"/>
    </row>
    <row r="8" spans="1:5" ht="15" customHeight="1" x14ac:dyDescent="0.25">
      <c r="A8" s="1"/>
      <c r="B8" s="80" t="s">
        <v>117</v>
      </c>
      <c r="C8" s="7">
        <f>'Fane 2.1. Økonomisk ramme 2023'!C19</f>
        <v>29461242.845237404</v>
      </c>
      <c r="D8" s="8" t="s">
        <v>3</v>
      </c>
      <c r="E8" s="1"/>
    </row>
    <row r="9" spans="1:5" ht="15" customHeight="1" x14ac:dyDescent="0.25">
      <c r="A9" s="1"/>
      <c r="B9" s="69" t="s">
        <v>17</v>
      </c>
      <c r="C9" s="9">
        <f>SUM(C8:C8)*'Fane 13. Nøgletal'!C15</f>
        <v>1048820.2452904517</v>
      </c>
      <c r="D9" s="8" t="s">
        <v>3</v>
      </c>
      <c r="E9" s="1"/>
    </row>
    <row r="10" spans="1:5" ht="15" customHeight="1" x14ac:dyDescent="0.25">
      <c r="A10" s="1"/>
      <c r="B10" s="69" t="s">
        <v>9</v>
      </c>
      <c r="C10" s="9">
        <f>-SUM(C8:C9)*'Fane 5. Individuelt eff. krav'!G9</f>
        <v>-610201.2618105571</v>
      </c>
      <c r="D10" s="8" t="s">
        <v>3</v>
      </c>
      <c r="E10" s="1"/>
    </row>
    <row r="11" spans="1:5" ht="15" customHeight="1" x14ac:dyDescent="0.25">
      <c r="A11" s="1"/>
      <c r="B11" s="69" t="s">
        <v>23</v>
      </c>
      <c r="C11" s="9">
        <f>-'Fane 4.1. Gen. krav - drift'!G48</f>
        <v>-250032.10697010069</v>
      </c>
      <c r="D11" s="8" t="s">
        <v>3</v>
      </c>
      <c r="E11" s="1"/>
    </row>
    <row r="12" spans="1:5" ht="15" customHeight="1" x14ac:dyDescent="0.25">
      <c r="A12" s="1"/>
      <c r="B12" s="69" t="s">
        <v>24</v>
      </c>
      <c r="C12" s="9">
        <f>-'Fane 4.2. Gen. krav - anlæg'!G48</f>
        <v>0</v>
      </c>
      <c r="D12" s="8" t="s">
        <v>3</v>
      </c>
      <c r="E12" s="1"/>
    </row>
    <row r="13" spans="1:5" ht="15" customHeight="1" x14ac:dyDescent="0.25">
      <c r="A13" s="1"/>
      <c r="B13" s="32" t="s">
        <v>19</v>
      </c>
      <c r="C13" s="10">
        <f>SUM(C8:C12)</f>
        <v>29649829.721747197</v>
      </c>
      <c r="D13" s="11" t="s">
        <v>3</v>
      </c>
      <c r="E13" s="1"/>
    </row>
    <row r="14" spans="1:5" x14ac:dyDescent="0.25">
      <c r="A14" s="1"/>
      <c r="B14" s="72" t="s">
        <v>11</v>
      </c>
      <c r="C14" s="73"/>
      <c r="D14" s="19"/>
      <c r="E14" s="1"/>
    </row>
    <row r="15" spans="1:5" ht="15" customHeight="1" x14ac:dyDescent="0.25">
      <c r="A15" s="1"/>
      <c r="B15" s="74" t="s">
        <v>11</v>
      </c>
      <c r="C15" s="10">
        <f>'Fane 6. Ikke-påvirkelige omk.'!C19*(1+'Fane 13. Nøgletal'!C15)</f>
        <v>34464911.915628158</v>
      </c>
      <c r="D15" s="11" t="s">
        <v>3</v>
      </c>
      <c r="E15" s="1"/>
    </row>
    <row r="16" spans="1:5" x14ac:dyDescent="0.25">
      <c r="A16" s="1"/>
      <c r="B16" s="25" t="s">
        <v>128</v>
      </c>
      <c r="C16" s="73"/>
      <c r="D16" s="19"/>
      <c r="E16" s="1"/>
    </row>
    <row r="17" spans="1:5" ht="15" customHeight="1" x14ac:dyDescent="0.25">
      <c r="A17" s="1"/>
      <c r="B17" s="85" t="s">
        <v>129</v>
      </c>
      <c r="C17" s="10">
        <f>'Fane 7. Kontrol af ØR2021'!E31</f>
        <v>-445307.19943533838</v>
      </c>
      <c r="D17" s="11" t="s">
        <v>3</v>
      </c>
      <c r="E17" s="1"/>
    </row>
    <row r="18" spans="1:5" x14ac:dyDescent="0.25">
      <c r="A18" s="1"/>
      <c r="B18" s="25" t="s">
        <v>153</v>
      </c>
      <c r="C18" s="73"/>
      <c r="D18" s="19"/>
      <c r="E18" s="1"/>
    </row>
    <row r="19" spans="1:5" x14ac:dyDescent="0.25">
      <c r="A19" s="1"/>
      <c r="B19" s="85" t="s">
        <v>154</v>
      </c>
      <c r="C19" s="10">
        <f>'Fane 8. Skattesagen'!G13</f>
        <v>0</v>
      </c>
      <c r="D19" s="11" t="s">
        <v>3</v>
      </c>
      <c r="E19" s="1"/>
    </row>
    <row r="20" spans="1:5" x14ac:dyDescent="0.25">
      <c r="A20" s="1"/>
      <c r="B20" s="72" t="s">
        <v>138</v>
      </c>
      <c r="C20" s="12">
        <f>SUM(C13,C15,C17,C19)</f>
        <v>63669434.437940016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spjf49XL4ZXh/IYFVG/8nyKh3QBrgFHkfxBCNOga3VGEFAA460n8p5Wy3MEM3jy06h630dDsCNkg/JV6H0tMIA==" saltValue="i/IDqTmUB6t6shoWxJyLM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167</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2" t="s">
        <v>12</v>
      </c>
      <c r="C7" s="73"/>
      <c r="D7" s="19"/>
      <c r="E7" s="1"/>
    </row>
    <row r="8" spans="1:5" ht="15" customHeight="1" x14ac:dyDescent="0.25">
      <c r="A8" s="1"/>
      <c r="B8" s="80" t="s">
        <v>139</v>
      </c>
      <c r="C8" s="7">
        <f>'Fane 2.2. Økonomisk ramme 2024'!C13</f>
        <v>29649829.721747197</v>
      </c>
      <c r="D8" s="8" t="s">
        <v>3</v>
      </c>
      <c r="E8" s="1"/>
    </row>
    <row r="9" spans="1:5" ht="15" customHeight="1" x14ac:dyDescent="0.25">
      <c r="A9" s="1"/>
      <c r="B9" s="69" t="s">
        <v>17</v>
      </c>
      <c r="C9" s="9">
        <f>SUM(C8:C8)*'Fane 13. Nøgletal'!C15</f>
        <v>1055533.9380942001</v>
      </c>
      <c r="D9" s="8" t="s">
        <v>3</v>
      </c>
      <c r="E9" s="1"/>
    </row>
    <row r="10" spans="1:5" ht="15" customHeight="1" x14ac:dyDescent="0.25">
      <c r="A10" s="1"/>
      <c r="B10" s="69" t="s">
        <v>9</v>
      </c>
      <c r="C10" s="9">
        <f>-SUM(C8:C9)*'Fane 5. Individuelt eff. krav'!G9</f>
        <v>-614107.27319682797</v>
      </c>
      <c r="D10" s="8" t="s">
        <v>3</v>
      </c>
      <c r="E10" s="1"/>
    </row>
    <row r="11" spans="1:5" ht="15" customHeight="1" x14ac:dyDescent="0.25">
      <c r="A11" s="1"/>
      <c r="B11" s="69" t="s">
        <v>23</v>
      </c>
      <c r="C11" s="9">
        <f>-'Fane 4.1. Gen. krav - drift'!G53</f>
        <v>-253754.58497867157</v>
      </c>
      <c r="D11" s="8" t="s">
        <v>3</v>
      </c>
      <c r="E11" s="1"/>
    </row>
    <row r="12" spans="1:5" ht="15" customHeight="1" x14ac:dyDescent="0.25">
      <c r="A12" s="1"/>
      <c r="B12" s="69" t="s">
        <v>24</v>
      </c>
      <c r="C12" s="27">
        <f>-'Fane 4.2. Gen. krav - anlæg'!G53</f>
        <v>0</v>
      </c>
      <c r="D12" s="8" t="s">
        <v>3</v>
      </c>
      <c r="E12" s="1"/>
    </row>
    <row r="13" spans="1:5" x14ac:dyDescent="0.25">
      <c r="A13" s="1"/>
      <c r="B13" s="32" t="s">
        <v>19</v>
      </c>
      <c r="C13" s="10">
        <f>SUM(C8:C12)</f>
        <v>29837501.801665898</v>
      </c>
      <c r="D13" s="11" t="s">
        <v>3</v>
      </c>
      <c r="E13" s="1"/>
    </row>
    <row r="14" spans="1:5" x14ac:dyDescent="0.25">
      <c r="A14" s="1"/>
      <c r="B14" s="72" t="s">
        <v>11</v>
      </c>
      <c r="C14" s="73"/>
      <c r="D14" s="19"/>
      <c r="E14" s="1"/>
    </row>
    <row r="15" spans="1:5" ht="15" customHeight="1" x14ac:dyDescent="0.25">
      <c r="A15" s="1"/>
      <c r="B15" s="74" t="s">
        <v>11</v>
      </c>
      <c r="C15" s="10">
        <f>'Fane 6. Ikke-påvirkelige omk.'!C19*(1+'Fane 13. Nøgletal'!C15)^2</f>
        <v>35691862.779824518</v>
      </c>
      <c r="D15" s="11" t="s">
        <v>3</v>
      </c>
      <c r="E15" s="1"/>
    </row>
    <row r="16" spans="1:5" x14ac:dyDescent="0.25">
      <c r="A16" s="1"/>
      <c r="B16" s="72" t="s">
        <v>128</v>
      </c>
      <c r="C16" s="73"/>
      <c r="D16" s="19"/>
      <c r="E16" s="1"/>
    </row>
    <row r="17" spans="1:5" x14ac:dyDescent="0.25">
      <c r="A17" s="1"/>
      <c r="B17" s="74" t="s">
        <v>129</v>
      </c>
      <c r="C17" s="10">
        <v>0</v>
      </c>
      <c r="D17" s="11" t="s">
        <v>3</v>
      </c>
      <c r="E17" s="1"/>
    </row>
    <row r="18" spans="1:5" ht="15" customHeight="1" x14ac:dyDescent="0.25">
      <c r="A18" s="1"/>
      <c r="B18" s="25" t="s">
        <v>153</v>
      </c>
      <c r="C18" s="73"/>
      <c r="D18" s="19"/>
      <c r="E18" s="1"/>
    </row>
    <row r="19" spans="1:5" ht="15" customHeight="1" x14ac:dyDescent="0.25">
      <c r="A19" s="1"/>
      <c r="B19" s="85" t="s">
        <v>154</v>
      </c>
      <c r="C19" s="10">
        <f>'Fane 8. Skattesagen'!G14</f>
        <v>0</v>
      </c>
      <c r="D19" s="11" t="s">
        <v>3</v>
      </c>
      <c r="E19" s="1"/>
    </row>
    <row r="20" spans="1:5" x14ac:dyDescent="0.25">
      <c r="A20" s="1"/>
      <c r="B20" s="72" t="s">
        <v>140</v>
      </c>
      <c r="C20" s="12">
        <f>SUM(C13,C15,C17,C19)</f>
        <v>65529364.581490412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1pnPGm5P9xpdvlrG4TzxBa9RIkdg5iQsEiroHwmiO6ABRoS1D3LhLgzBUKdrM4EGSCtBg3g27xBJ0cES87Nozg==" saltValue="neosn9lSppQxE5y6DEaqD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168</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2" t="s">
        <v>12</v>
      </c>
      <c r="C7" s="73"/>
      <c r="D7" s="19"/>
      <c r="E7" s="1"/>
    </row>
    <row r="8" spans="1:5" ht="15" customHeight="1" x14ac:dyDescent="0.25">
      <c r="A8" s="1"/>
      <c r="B8" s="80" t="s">
        <v>169</v>
      </c>
      <c r="C8" s="7">
        <f>'Fane 2.3. Økonomisk ramme 2025'!C13</f>
        <v>29837501.801665898</v>
      </c>
      <c r="D8" s="8" t="s">
        <v>3</v>
      </c>
      <c r="E8" s="1"/>
    </row>
    <row r="9" spans="1:5" ht="15" customHeight="1" x14ac:dyDescent="0.25">
      <c r="A9" s="1"/>
      <c r="B9" s="69" t="s">
        <v>17</v>
      </c>
      <c r="C9" s="9">
        <f>SUM(C8:C8)*'Fane 13. Nøgletal'!C15</f>
        <v>1062215.0641393061</v>
      </c>
      <c r="D9" s="8" t="s">
        <v>3</v>
      </c>
      <c r="E9" s="1"/>
    </row>
    <row r="10" spans="1:5" ht="15" customHeight="1" x14ac:dyDescent="0.25">
      <c r="A10" s="1"/>
      <c r="B10" s="69" t="s">
        <v>9</v>
      </c>
      <c r="C10" s="9">
        <f>-SUM(C8:C9)*'Fane 5. Individuelt eff. krav'!G9</f>
        <v>-617994.33731610409</v>
      </c>
      <c r="D10" s="8" t="s">
        <v>3</v>
      </c>
      <c r="E10" s="1"/>
    </row>
    <row r="11" spans="1:5" ht="15" customHeight="1" x14ac:dyDescent="0.25">
      <c r="A11" s="1"/>
      <c r="B11" s="69" t="s">
        <v>23</v>
      </c>
      <c r="C11" s="9">
        <f>-'Fane 4.1. Gen. krav - drift'!G58</f>
        <v>-257532.48323983405</v>
      </c>
      <c r="D11" s="8" t="s">
        <v>3</v>
      </c>
      <c r="E11" s="1"/>
    </row>
    <row r="12" spans="1:5" ht="15" customHeight="1" x14ac:dyDescent="0.25">
      <c r="A12" s="1"/>
      <c r="B12" s="69" t="s">
        <v>24</v>
      </c>
      <c r="C12" s="9">
        <f>-'Fane 4.2. Gen. krav - anlæg'!G58</f>
        <v>0</v>
      </c>
      <c r="D12" s="8" t="s">
        <v>3</v>
      </c>
      <c r="E12" s="1"/>
    </row>
    <row r="13" spans="1:5" x14ac:dyDescent="0.25">
      <c r="A13" s="1"/>
      <c r="B13" s="32" t="s">
        <v>19</v>
      </c>
      <c r="C13" s="10">
        <f>SUM(C8:C12)</f>
        <v>30024190.045249268</v>
      </c>
      <c r="D13" s="11" t="s">
        <v>3</v>
      </c>
      <c r="E13" s="1"/>
    </row>
    <row r="14" spans="1:5" x14ac:dyDescent="0.25">
      <c r="A14" s="1"/>
      <c r="B14" s="72" t="s">
        <v>11</v>
      </c>
      <c r="C14" s="73"/>
      <c r="D14" s="19"/>
      <c r="E14" s="1"/>
    </row>
    <row r="15" spans="1:5" ht="15" customHeight="1" x14ac:dyDescent="0.25">
      <c r="A15" s="1"/>
      <c r="B15" s="74" t="s">
        <v>11</v>
      </c>
      <c r="C15" s="10">
        <f>'Fane 6. Ikke-påvirkelige omk.'!C19*(1+'Fane 13. Nøgletal'!C15)^3</f>
        <v>36962493.094786271</v>
      </c>
      <c r="D15" s="11" t="s">
        <v>3</v>
      </c>
      <c r="E15" s="1"/>
    </row>
    <row r="16" spans="1:5" x14ac:dyDescent="0.25">
      <c r="A16" s="1"/>
      <c r="B16" s="72" t="s">
        <v>128</v>
      </c>
      <c r="C16" s="73"/>
      <c r="D16" s="19"/>
      <c r="E16" s="1"/>
    </row>
    <row r="17" spans="1:5" x14ac:dyDescent="0.25">
      <c r="A17" s="1"/>
      <c r="B17" s="74" t="s">
        <v>129</v>
      </c>
      <c r="C17" s="10">
        <v>0</v>
      </c>
      <c r="D17" s="11" t="s">
        <v>3</v>
      </c>
      <c r="E17" s="1"/>
    </row>
    <row r="18" spans="1:5" x14ac:dyDescent="0.25">
      <c r="A18" s="1"/>
      <c r="B18" s="25" t="s">
        <v>153</v>
      </c>
      <c r="C18" s="73"/>
      <c r="D18" s="19"/>
      <c r="E18" s="1"/>
    </row>
    <row r="19" spans="1:5" x14ac:dyDescent="0.25">
      <c r="A19" s="1"/>
      <c r="B19" s="85" t="s">
        <v>154</v>
      </c>
      <c r="C19" s="10">
        <f>'Fane 8. Skattesagen'!G15</f>
        <v>0</v>
      </c>
      <c r="D19" s="11" t="s">
        <v>3</v>
      </c>
      <c r="E19" s="1"/>
    </row>
    <row r="20" spans="1:5" x14ac:dyDescent="0.25">
      <c r="A20" s="1"/>
      <c r="B20" s="72" t="s">
        <v>170</v>
      </c>
      <c r="C20" s="12">
        <f>SUM(C13,C15,C17,C19)</f>
        <v>66986683.14003554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MU8P/o1I+saaaVmFcKMuTcG0eTE1aTe6QfNtg5YiUEVrrAaingeIve2gYu30Bp2Z5G52wfy0GTPEcJSYvHk0yQ==" saltValue="qS/ztqsN7LOs3cRGUNLuo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171</v>
      </c>
      <c r="C3" s="112"/>
      <c r="D3" s="112"/>
      <c r="E3" s="112"/>
      <c r="F3" s="112"/>
      <c r="G3" s="1"/>
    </row>
    <row r="4" spans="1:7" ht="29.2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172</v>
      </c>
      <c r="C8" s="73"/>
      <c r="D8" s="73"/>
      <c r="E8" s="73"/>
      <c r="F8" s="19"/>
      <c r="G8" s="1"/>
    </row>
    <row r="9" spans="1:7" x14ac:dyDescent="0.25">
      <c r="A9" s="1"/>
      <c r="B9" s="113" t="s">
        <v>22</v>
      </c>
      <c r="C9" s="114"/>
      <c r="D9" s="115"/>
      <c r="E9" s="7">
        <v>27817535.269568842</v>
      </c>
      <c r="F9" s="8" t="s">
        <v>3</v>
      </c>
      <c r="G9" s="1"/>
    </row>
    <row r="10" spans="1:7" ht="15" customHeight="1" x14ac:dyDescent="0.25">
      <c r="A10" s="1"/>
      <c r="B10" s="106" t="s">
        <v>35</v>
      </c>
      <c r="C10" s="107"/>
      <c r="D10" s="108"/>
      <c r="E10" s="9">
        <v>0</v>
      </c>
      <c r="F10" s="8" t="s">
        <v>3</v>
      </c>
      <c r="G10" s="1"/>
    </row>
    <row r="11" spans="1:7" ht="15" customHeight="1" x14ac:dyDescent="0.25">
      <c r="A11" s="1"/>
      <c r="B11" s="106" t="s">
        <v>36</v>
      </c>
      <c r="C11" s="107"/>
      <c r="D11" s="108"/>
      <c r="E11" s="9">
        <v>486859.35140000004</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340980.56614835991</v>
      </c>
      <c r="F16" s="8" t="s">
        <v>3</v>
      </c>
      <c r="G16" s="29"/>
    </row>
    <row r="17" spans="1:7" x14ac:dyDescent="0.25">
      <c r="A17" s="1"/>
      <c r="B17" s="106" t="s">
        <v>9</v>
      </c>
      <c r="C17" s="107"/>
      <c r="D17" s="108"/>
      <c r="E17" s="9">
        <v>-572907.50374234398</v>
      </c>
      <c r="F17" s="8" t="s">
        <v>3</v>
      </c>
      <c r="G17" s="1"/>
    </row>
    <row r="18" spans="1:7" x14ac:dyDescent="0.25">
      <c r="A18" s="1"/>
      <c r="B18" s="106" t="s">
        <v>23</v>
      </c>
      <c r="C18" s="107"/>
      <c r="D18" s="108"/>
      <c r="E18" s="9">
        <v>-227247.83143691183</v>
      </c>
      <c r="F18" s="8" t="s">
        <v>3</v>
      </c>
      <c r="G18" s="1"/>
    </row>
    <row r="19" spans="1:7" x14ac:dyDescent="0.25">
      <c r="A19" s="1"/>
      <c r="B19" s="106" t="s">
        <v>24</v>
      </c>
      <c r="C19" s="107"/>
      <c r="D19" s="108"/>
      <c r="E19" s="9">
        <v>-528857.9784731504</v>
      </c>
      <c r="F19" s="8" t="s">
        <v>3</v>
      </c>
      <c r="G19" s="1"/>
    </row>
    <row r="20" spans="1:7" x14ac:dyDescent="0.25">
      <c r="A20" s="1"/>
      <c r="B20" s="119" t="s">
        <v>19</v>
      </c>
      <c r="C20" s="120"/>
      <c r="D20" s="121"/>
      <c r="E20" s="30">
        <f>SUM(E9:E19)</f>
        <v>27316361.873464793</v>
      </c>
      <c r="F20" s="33" t="s">
        <v>3</v>
      </c>
      <c r="G20" s="1"/>
    </row>
    <row r="21" spans="1:7" x14ac:dyDescent="0.25">
      <c r="A21" s="1"/>
      <c r="B21" s="72" t="s">
        <v>11</v>
      </c>
      <c r="C21" s="73"/>
      <c r="D21" s="73"/>
      <c r="E21" s="73"/>
      <c r="F21" s="19"/>
      <c r="G21" s="1"/>
    </row>
    <row r="22" spans="1:7" x14ac:dyDescent="0.25">
      <c r="A22" s="1"/>
      <c r="B22" s="109" t="s">
        <v>11</v>
      </c>
      <c r="C22" s="110"/>
      <c r="D22" s="111"/>
      <c r="E22" s="10">
        <v>29278002.495490804</v>
      </c>
      <c r="F22" s="11" t="s">
        <v>3</v>
      </c>
      <c r="G22" s="1"/>
    </row>
    <row r="23" spans="1:7" ht="15" customHeight="1" x14ac:dyDescent="0.25">
      <c r="A23" s="1"/>
      <c r="B23" s="125" t="s">
        <v>80</v>
      </c>
      <c r="C23" s="126"/>
      <c r="D23" s="126"/>
      <c r="E23" s="73"/>
      <c r="F23" s="73"/>
      <c r="G23" s="1"/>
    </row>
    <row r="24" spans="1:7" ht="14.25" customHeight="1" x14ac:dyDescent="0.25">
      <c r="A24" s="1"/>
      <c r="B24" s="116" t="s">
        <v>76</v>
      </c>
      <c r="C24" s="117"/>
      <c r="D24" s="118"/>
      <c r="E24" s="9">
        <v>0</v>
      </c>
      <c r="F24" s="8" t="s">
        <v>3</v>
      </c>
      <c r="G24" s="1"/>
    </row>
    <row r="25" spans="1:7" ht="14.25" customHeight="1" x14ac:dyDescent="0.25">
      <c r="A25" s="1"/>
      <c r="B25" s="116" t="s">
        <v>77</v>
      </c>
      <c r="C25" s="117"/>
      <c r="D25" s="118"/>
      <c r="E25" s="9">
        <v>0</v>
      </c>
      <c r="F25" s="8" t="s">
        <v>3</v>
      </c>
      <c r="G25" s="1"/>
    </row>
    <row r="26" spans="1:7" x14ac:dyDescent="0.25">
      <c r="A26" s="1"/>
      <c r="B26" s="122" t="s">
        <v>81</v>
      </c>
      <c r="C26" s="123"/>
      <c r="D26" s="123"/>
      <c r="E26" s="10">
        <v>0</v>
      </c>
      <c r="F26" s="11" t="s">
        <v>3</v>
      </c>
      <c r="G26" s="1"/>
    </row>
    <row r="27" spans="1:7" x14ac:dyDescent="0.25">
      <c r="A27" s="1"/>
      <c r="B27" s="72" t="s">
        <v>128</v>
      </c>
      <c r="C27" s="73"/>
      <c r="D27" s="73"/>
      <c r="E27" s="73"/>
      <c r="F27" s="19"/>
      <c r="G27" s="1"/>
    </row>
    <row r="28" spans="1:7" ht="15" customHeight="1" x14ac:dyDescent="0.25">
      <c r="A28" s="1"/>
      <c r="B28" s="122" t="s">
        <v>129</v>
      </c>
      <c r="C28" s="123"/>
      <c r="D28" s="124"/>
      <c r="E28" s="10">
        <v>0</v>
      </c>
      <c r="F28" s="11" t="s">
        <v>3</v>
      </c>
      <c r="G28" s="1"/>
    </row>
    <row r="29" spans="1:7" x14ac:dyDescent="0.25">
      <c r="A29" s="1"/>
      <c r="B29" s="72" t="s">
        <v>159</v>
      </c>
      <c r="C29" s="73"/>
      <c r="D29" s="73"/>
      <c r="E29" s="73"/>
      <c r="F29" s="19"/>
      <c r="G29" s="1"/>
    </row>
    <row r="30" spans="1:7" ht="15.6" customHeight="1" x14ac:dyDescent="0.25">
      <c r="A30" s="1"/>
      <c r="B30" s="109" t="s">
        <v>160</v>
      </c>
      <c r="C30" s="110"/>
      <c r="D30" s="111"/>
      <c r="E30" s="10">
        <v>0</v>
      </c>
      <c r="F30" s="11" t="s">
        <v>3</v>
      </c>
      <c r="G30" s="1"/>
    </row>
    <row r="31" spans="1:7" ht="15.6" customHeight="1" x14ac:dyDescent="0.25">
      <c r="A31" s="1"/>
      <c r="B31" s="127" t="s">
        <v>153</v>
      </c>
      <c r="C31" s="128"/>
      <c r="D31" s="128"/>
      <c r="E31" s="128"/>
      <c r="F31" s="129"/>
      <c r="G31" s="1"/>
    </row>
    <row r="32" spans="1:7" ht="15.6" customHeight="1" x14ac:dyDescent="0.25">
      <c r="A32" s="1"/>
      <c r="B32" s="85" t="s">
        <v>154</v>
      </c>
      <c r="C32" s="10"/>
      <c r="D32" s="11"/>
      <c r="E32" s="10">
        <f>'Fane 8. Skattesagen'!G11</f>
        <v>0</v>
      </c>
      <c r="F32" s="11" t="s">
        <v>3</v>
      </c>
      <c r="G32" s="1"/>
    </row>
    <row r="33" spans="1:7" x14ac:dyDescent="0.25">
      <c r="A33" s="1"/>
      <c r="B33" s="34" t="s">
        <v>27</v>
      </c>
      <c r="C33" s="37"/>
      <c r="D33" s="37"/>
      <c r="E33" s="31">
        <f>E20+E22+E26+E28+E30+E32</f>
        <v>56594364.368955597</v>
      </c>
      <c r="F33" s="36" t="s">
        <v>3</v>
      </c>
      <c r="G33" s="1"/>
    </row>
    <row r="34" spans="1:7" ht="27.75" customHeight="1" x14ac:dyDescent="0.25">
      <c r="A34" s="1"/>
      <c r="B34" s="116" t="s">
        <v>173</v>
      </c>
      <c r="C34" s="117"/>
      <c r="D34" s="117"/>
      <c r="E34" s="117"/>
      <c r="F34" s="11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EwN1na8RXmnC4lCYoLgz6hCAFbFI4QulR/LdJn8UjJiTzU3nEzFobLLBPsnN1Kv3LQdmmjlHKdQT0IY2bpmQ==" saltValue="XuMhdE+aPlnx0p4mhtjvm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1" customWidth="1"/>
    <col min="8" max="8" width="3.7109375" style="2" customWidth="1"/>
    <col min="9" max="9" width="6.7109375" style="2" customWidth="1"/>
    <col min="10" max="16384" width="9.140625" style="2"/>
  </cols>
  <sheetData>
    <row r="1" spans="1:9" ht="15" customHeight="1" x14ac:dyDescent="0.25">
      <c r="A1" s="1"/>
      <c r="B1" s="112" t="s">
        <v>98</v>
      </c>
      <c r="C1" s="112"/>
      <c r="D1" s="112"/>
      <c r="E1" s="112"/>
      <c r="F1" s="112"/>
      <c r="G1" s="112"/>
      <c r="H1" s="112"/>
      <c r="I1" s="1"/>
    </row>
    <row r="2" spans="1:9" ht="15" customHeight="1" x14ac:dyDescent="0.25">
      <c r="A2" s="1"/>
      <c r="B2" s="112"/>
      <c r="C2" s="112"/>
      <c r="D2" s="112"/>
      <c r="E2" s="112"/>
      <c r="F2" s="112"/>
      <c r="G2" s="112"/>
      <c r="H2" s="112"/>
      <c r="I2" s="1"/>
    </row>
    <row r="3" spans="1:9" ht="15" customHeight="1" x14ac:dyDescent="0.25">
      <c r="A3" s="1"/>
      <c r="B3" s="112"/>
      <c r="C3" s="112"/>
      <c r="D3" s="112"/>
      <c r="E3" s="112"/>
      <c r="F3" s="112"/>
      <c r="G3" s="112"/>
      <c r="H3" s="112"/>
      <c r="I3" s="1"/>
    </row>
    <row r="4" spans="1:9" x14ac:dyDescent="0.25">
      <c r="A4" s="1"/>
      <c r="B4" s="127" t="s">
        <v>49</v>
      </c>
      <c r="C4" s="128"/>
      <c r="D4" s="128"/>
      <c r="E4" s="128"/>
      <c r="F4" s="128"/>
      <c r="G4" s="128"/>
      <c r="H4" s="129"/>
      <c r="I4" s="1"/>
    </row>
    <row r="5" spans="1:9" x14ac:dyDescent="0.25">
      <c r="A5" s="1"/>
      <c r="B5" s="130" t="s">
        <v>38</v>
      </c>
      <c r="C5" s="131"/>
      <c r="D5" s="131"/>
      <c r="E5" s="131"/>
      <c r="F5" s="132"/>
      <c r="G5" s="62">
        <v>10646230.818906799</v>
      </c>
      <c r="H5" s="14" t="s">
        <v>3</v>
      </c>
      <c r="I5" s="1"/>
    </row>
    <row r="6" spans="1:9" x14ac:dyDescent="0.25">
      <c r="A6" s="1"/>
      <c r="B6" s="130" t="s">
        <v>39</v>
      </c>
      <c r="C6" s="131"/>
      <c r="D6" s="131"/>
      <c r="E6" s="131"/>
      <c r="F6" s="132"/>
      <c r="G6" s="62">
        <f>G5*'Fane 13. Nøgletal'!C31</f>
        <v>212924.61637813598</v>
      </c>
      <c r="H6" s="14" t="s">
        <v>3</v>
      </c>
      <c r="I6" s="1"/>
    </row>
    <row r="7" spans="1:9" x14ac:dyDescent="0.25">
      <c r="A7" s="1"/>
      <c r="B7" s="72"/>
      <c r="C7" s="73"/>
      <c r="D7" s="73"/>
      <c r="E7" s="73"/>
      <c r="F7" s="73"/>
      <c r="G7" s="63"/>
      <c r="H7" s="19"/>
      <c r="I7" s="1"/>
    </row>
    <row r="8" spans="1:9" x14ac:dyDescent="0.25">
      <c r="A8" s="1"/>
      <c r="B8" s="1"/>
      <c r="C8" s="1"/>
      <c r="D8" s="1"/>
      <c r="E8" s="1"/>
      <c r="F8" s="1"/>
      <c r="G8" s="64"/>
      <c r="H8" s="1"/>
      <c r="I8" s="1"/>
    </row>
    <row r="9" spans="1:9" x14ac:dyDescent="0.25">
      <c r="A9" s="1"/>
      <c r="B9" s="127" t="s">
        <v>50</v>
      </c>
      <c r="C9" s="128"/>
      <c r="D9" s="128"/>
      <c r="E9" s="128"/>
      <c r="F9" s="128"/>
      <c r="G9" s="133"/>
      <c r="H9" s="129"/>
      <c r="I9" s="1"/>
    </row>
    <row r="10" spans="1:9" x14ac:dyDescent="0.25">
      <c r="A10" s="1"/>
      <c r="B10" s="130" t="s">
        <v>40</v>
      </c>
      <c r="C10" s="131"/>
      <c r="D10" s="131"/>
      <c r="E10" s="131"/>
      <c r="F10" s="132"/>
      <c r="G10" s="62">
        <f>(G5-G6)*(1+'Fane 13. Nøgletal'!C9)</f>
        <v>10565809.191300776</v>
      </c>
      <c r="H10" s="14" t="s">
        <v>3</v>
      </c>
      <c r="I10" s="1"/>
    </row>
    <row r="11" spans="1:9" x14ac:dyDescent="0.25">
      <c r="A11" s="1"/>
      <c r="B11" s="134" t="s">
        <v>41</v>
      </c>
      <c r="C11" s="135"/>
      <c r="D11" s="135"/>
      <c r="E11" s="135"/>
      <c r="F11" s="136"/>
      <c r="G11" s="62">
        <v>697840.93066875008</v>
      </c>
      <c r="H11" s="14" t="s">
        <v>3</v>
      </c>
      <c r="I11" s="1"/>
    </row>
    <row r="12" spans="1:9" x14ac:dyDescent="0.25">
      <c r="A12" s="1"/>
      <c r="B12" s="130" t="s">
        <v>42</v>
      </c>
      <c r="C12" s="131"/>
      <c r="D12" s="131"/>
      <c r="E12" s="131"/>
      <c r="F12" s="132"/>
      <c r="G12" s="62">
        <f>(G10+G11)*'Fane 13. Nøgletal'!C31</f>
        <v>225273.00243939055</v>
      </c>
      <c r="H12" s="14" t="s">
        <v>3</v>
      </c>
      <c r="I12" s="1"/>
    </row>
    <row r="13" spans="1:9" x14ac:dyDescent="0.25">
      <c r="A13" s="1"/>
      <c r="B13" s="72"/>
      <c r="C13" s="73"/>
      <c r="D13" s="73"/>
      <c r="E13" s="73"/>
      <c r="F13" s="73"/>
      <c r="G13" s="63"/>
      <c r="H13" s="19"/>
      <c r="I13" s="1"/>
    </row>
    <row r="14" spans="1:9" x14ac:dyDescent="0.25">
      <c r="A14" s="1"/>
      <c r="B14" s="1"/>
      <c r="C14" s="1"/>
      <c r="D14" s="1"/>
      <c r="E14" s="1"/>
      <c r="F14" s="1"/>
      <c r="G14" s="64"/>
      <c r="H14" s="1"/>
      <c r="I14" s="1"/>
    </row>
    <row r="15" spans="1:9" x14ac:dyDescent="0.25">
      <c r="A15" s="1"/>
      <c r="B15" s="127" t="s">
        <v>51</v>
      </c>
      <c r="C15" s="128"/>
      <c r="D15" s="128"/>
      <c r="E15" s="128"/>
      <c r="F15" s="128"/>
      <c r="G15" s="133"/>
      <c r="H15" s="129"/>
      <c r="I15" s="1"/>
    </row>
    <row r="16" spans="1:9" x14ac:dyDescent="0.25">
      <c r="A16" s="1"/>
      <c r="B16" s="130" t="s">
        <v>43</v>
      </c>
      <c r="C16" s="131"/>
      <c r="D16" s="131"/>
      <c r="E16" s="131"/>
      <c r="F16" s="132"/>
      <c r="G16" s="62">
        <f>(G10+G11-G12)*(1+'Fane 13. Nøgletal'!C11)</f>
        <v>11224925.692850195</v>
      </c>
      <c r="H16" s="14" t="s">
        <v>3</v>
      </c>
      <c r="I16" s="1"/>
    </row>
    <row r="17" spans="1:9" x14ac:dyDescent="0.25">
      <c r="A17" s="1"/>
      <c r="B17" s="130" t="s">
        <v>108</v>
      </c>
      <c r="C17" s="131"/>
      <c r="D17" s="131"/>
      <c r="E17" s="131"/>
      <c r="F17" s="132"/>
      <c r="G17" s="62">
        <v>-123830.39076971594</v>
      </c>
      <c r="H17" s="14" t="s">
        <v>3</v>
      </c>
      <c r="I17" s="1"/>
    </row>
    <row r="18" spans="1:9" x14ac:dyDescent="0.25">
      <c r="A18" s="1"/>
      <c r="B18" s="134" t="s">
        <v>44</v>
      </c>
      <c r="C18" s="135"/>
      <c r="D18" s="135"/>
      <c r="E18" s="135"/>
      <c r="F18" s="136"/>
      <c r="G18" s="62">
        <v>65016.064557529986</v>
      </c>
      <c r="H18" s="14" t="s">
        <v>3</v>
      </c>
      <c r="I18" s="1"/>
    </row>
    <row r="19" spans="1:9" x14ac:dyDescent="0.25">
      <c r="A19" s="1"/>
      <c r="B19" s="130" t="s">
        <v>45</v>
      </c>
      <c r="C19" s="131"/>
      <c r="D19" s="131"/>
      <c r="E19" s="131"/>
      <c r="F19" s="132"/>
      <c r="G19" s="62">
        <f>SUM(G16:G18)*'Fane 13. Nøgletal'!C31</f>
        <v>223322.22733276017</v>
      </c>
      <c r="H19" s="14" t="s">
        <v>3</v>
      </c>
      <c r="I19" s="1"/>
    </row>
    <row r="20" spans="1:9" x14ac:dyDescent="0.25">
      <c r="A20" s="1"/>
      <c r="B20" s="72"/>
      <c r="C20" s="73"/>
      <c r="D20" s="73"/>
      <c r="E20" s="73"/>
      <c r="F20" s="73"/>
      <c r="G20" s="63"/>
      <c r="H20" s="19"/>
      <c r="I20" s="1"/>
    </row>
    <row r="21" spans="1:9" x14ac:dyDescent="0.25">
      <c r="A21" s="1"/>
      <c r="B21" s="1"/>
      <c r="C21" s="1"/>
      <c r="D21" s="1"/>
      <c r="E21" s="1"/>
      <c r="F21" s="1"/>
      <c r="G21" s="64"/>
      <c r="H21" s="1"/>
      <c r="I21" s="1"/>
    </row>
    <row r="22" spans="1:9" x14ac:dyDescent="0.25">
      <c r="A22" s="1"/>
      <c r="B22" s="127" t="s">
        <v>52</v>
      </c>
      <c r="C22" s="128"/>
      <c r="D22" s="128"/>
      <c r="E22" s="128"/>
      <c r="F22" s="128"/>
      <c r="G22" s="133"/>
      <c r="H22" s="129"/>
      <c r="I22" s="1"/>
    </row>
    <row r="23" spans="1:9" x14ac:dyDescent="0.25">
      <c r="A23" s="1"/>
      <c r="B23" s="130" t="s">
        <v>46</v>
      </c>
      <c r="C23" s="131"/>
      <c r="D23" s="131"/>
      <c r="E23" s="131"/>
      <c r="F23" s="132"/>
      <c r="G23" s="62">
        <f>(SUM(G16:G18)-G19)*(1+'Fane 13. Nøgletal'!C11)</f>
        <v>11127722.275759507</v>
      </c>
      <c r="H23" s="14" t="s">
        <v>3</v>
      </c>
      <c r="I23" s="1"/>
    </row>
    <row r="24" spans="1:9" x14ac:dyDescent="0.25">
      <c r="A24" s="1"/>
      <c r="B24" s="134" t="s">
        <v>47</v>
      </c>
      <c r="C24" s="135"/>
      <c r="D24" s="135"/>
      <c r="E24" s="135"/>
      <c r="F24" s="136"/>
      <c r="G24" s="62">
        <v>-64792.539327581188</v>
      </c>
      <c r="H24" s="14" t="s">
        <v>3</v>
      </c>
      <c r="I24" s="1"/>
    </row>
    <row r="25" spans="1:9" x14ac:dyDescent="0.25">
      <c r="A25" s="1"/>
      <c r="B25" s="130" t="s">
        <v>48</v>
      </c>
      <c r="C25" s="131"/>
      <c r="D25" s="131"/>
      <c r="E25" s="131"/>
      <c r="F25" s="132"/>
      <c r="G25" s="62">
        <f>(G23+G24)*'Fane 13. Nøgletal'!C31</f>
        <v>221258.59472863853</v>
      </c>
      <c r="H25" s="14" t="s">
        <v>3</v>
      </c>
      <c r="I25" s="1"/>
    </row>
    <row r="26" spans="1:9" x14ac:dyDescent="0.25">
      <c r="A26" s="1"/>
      <c r="B26" s="72"/>
      <c r="C26" s="73"/>
      <c r="D26" s="73"/>
      <c r="E26" s="73"/>
      <c r="F26" s="73"/>
      <c r="G26" s="63"/>
      <c r="H26" s="19"/>
      <c r="I26" s="1"/>
    </row>
    <row r="27" spans="1:9" x14ac:dyDescent="0.25">
      <c r="A27" s="1"/>
      <c r="B27" s="1"/>
      <c r="C27" s="1"/>
      <c r="D27" s="1"/>
      <c r="E27" s="1"/>
      <c r="F27" s="1"/>
      <c r="G27" s="64"/>
      <c r="H27" s="1"/>
      <c r="I27" s="1"/>
    </row>
    <row r="28" spans="1:9" x14ac:dyDescent="0.25">
      <c r="A28" s="1"/>
      <c r="B28" s="127" t="s">
        <v>132</v>
      </c>
      <c r="C28" s="128"/>
      <c r="D28" s="128"/>
      <c r="E28" s="128"/>
      <c r="F28" s="128"/>
      <c r="G28" s="133"/>
      <c r="H28" s="129"/>
      <c r="I28" s="1"/>
    </row>
    <row r="29" spans="1:9" x14ac:dyDescent="0.25">
      <c r="A29" s="1"/>
      <c r="B29" s="130" t="s">
        <v>55</v>
      </c>
      <c r="C29" s="131"/>
      <c r="D29" s="131"/>
      <c r="E29" s="131"/>
      <c r="F29" s="132"/>
      <c r="G29" s="62">
        <f>(G23+G24-G25)*(1+'Fane 13. Nøgletal'!C13)</f>
        <v>10973939.529632067</v>
      </c>
      <c r="H29" s="14" t="s">
        <v>3</v>
      </c>
      <c r="I29" s="1"/>
    </row>
    <row r="30" spans="1:9" x14ac:dyDescent="0.25">
      <c r="A30" s="1"/>
      <c r="B30" s="130" t="s">
        <v>121</v>
      </c>
      <c r="C30" s="131"/>
      <c r="D30" s="131"/>
      <c r="E30" s="131"/>
      <c r="F30" s="132"/>
      <c r="G30" s="62">
        <v>480592.29622068</v>
      </c>
      <c r="H30" s="14" t="s">
        <v>3</v>
      </c>
      <c r="I30" s="1"/>
    </row>
    <row r="31" spans="1:9" x14ac:dyDescent="0.25">
      <c r="A31" s="1"/>
      <c r="B31" s="130" t="s">
        <v>126</v>
      </c>
      <c r="C31" s="131"/>
      <c r="D31" s="131"/>
      <c r="E31" s="131"/>
      <c r="F31" s="132"/>
      <c r="G31" s="62">
        <f>(G29+G30)*'Fane 13. Nøgletal'!C31</f>
        <v>229090.63651705495</v>
      </c>
      <c r="H31" s="14" t="s">
        <v>3</v>
      </c>
      <c r="I31" s="1"/>
    </row>
    <row r="32" spans="1:9" x14ac:dyDescent="0.25">
      <c r="A32" s="1"/>
      <c r="B32" s="72"/>
      <c r="C32" s="73"/>
      <c r="D32" s="73"/>
      <c r="E32" s="73"/>
      <c r="F32" s="73"/>
      <c r="G32" s="63"/>
      <c r="H32" s="19"/>
      <c r="I32" s="1"/>
    </row>
    <row r="33" spans="1:9" x14ac:dyDescent="0.25">
      <c r="A33" s="1"/>
      <c r="B33" s="1"/>
      <c r="C33" s="1"/>
      <c r="D33" s="1"/>
      <c r="E33" s="1"/>
      <c r="F33" s="1"/>
      <c r="G33" s="64"/>
      <c r="H33" s="1"/>
      <c r="I33" s="1"/>
    </row>
    <row r="34" spans="1:9" x14ac:dyDescent="0.25">
      <c r="A34" s="1"/>
      <c r="B34" s="127" t="s">
        <v>133</v>
      </c>
      <c r="C34" s="128"/>
      <c r="D34" s="128"/>
      <c r="E34" s="128"/>
      <c r="F34" s="128"/>
      <c r="G34" s="133"/>
      <c r="H34" s="129"/>
      <c r="I34" s="1"/>
    </row>
    <row r="35" spans="1:9" x14ac:dyDescent="0.25">
      <c r="A35" s="1"/>
      <c r="B35" s="130" t="s">
        <v>74</v>
      </c>
      <c r="C35" s="131"/>
      <c r="D35" s="131"/>
      <c r="E35" s="131"/>
      <c r="F35" s="132"/>
      <c r="G35" s="62">
        <f>(G29+G30-G31)*(1+'Fane 13. Nøgletal'!C13)</f>
        <v>11362391.571845587</v>
      </c>
      <c r="H35" s="14" t="s">
        <v>3</v>
      </c>
      <c r="I35" s="1"/>
    </row>
    <row r="36" spans="1:9" x14ac:dyDescent="0.25">
      <c r="A36" s="1"/>
      <c r="B36" s="130" t="s">
        <v>152</v>
      </c>
      <c r="C36" s="131"/>
      <c r="D36" s="131"/>
      <c r="E36" s="131"/>
      <c r="F36" s="132"/>
      <c r="G36" s="62">
        <f>('Fane 3. Omkostninger i ØR2022'!E10+'Fane 3. Omkostninger i ØR2022'!E12+'Fane 3. Omkostninger i ØR2022'!E14)*(1+'Fane 13. Nøgletal'!C14)</f>
        <v>0</v>
      </c>
      <c r="H36" s="14" t="s">
        <v>3</v>
      </c>
      <c r="I36" s="1"/>
    </row>
    <row r="37" spans="1:9" x14ac:dyDescent="0.25">
      <c r="A37" s="1"/>
      <c r="B37" s="130" t="s">
        <v>134</v>
      </c>
      <c r="C37" s="131"/>
      <c r="D37" s="131"/>
      <c r="E37" s="131"/>
      <c r="F37" s="132"/>
      <c r="G37" s="62">
        <f>(G35+G36)*'Fane 13. Nøgletal'!C31</f>
        <v>227247.83143691174</v>
      </c>
      <c r="H37" s="14" t="s">
        <v>3</v>
      </c>
      <c r="I37" s="1"/>
    </row>
    <row r="38" spans="1:9" x14ac:dyDescent="0.25">
      <c r="A38" s="1"/>
      <c r="B38" s="72"/>
      <c r="C38" s="73"/>
      <c r="D38" s="73"/>
      <c r="E38" s="73"/>
      <c r="F38" s="73"/>
      <c r="G38" s="63"/>
      <c r="H38" s="19"/>
      <c r="I38" s="1"/>
    </row>
    <row r="39" spans="1:9" x14ac:dyDescent="0.25">
      <c r="A39" s="1"/>
      <c r="B39" s="1"/>
      <c r="C39" s="1"/>
      <c r="D39" s="1"/>
      <c r="E39" s="1"/>
      <c r="F39" s="1"/>
      <c r="G39" s="64"/>
      <c r="H39" s="1"/>
      <c r="I39" s="1"/>
    </row>
    <row r="40" spans="1:9" x14ac:dyDescent="0.25">
      <c r="A40" s="1"/>
      <c r="B40" s="127" t="s">
        <v>198</v>
      </c>
      <c r="C40" s="128"/>
      <c r="D40" s="128"/>
      <c r="E40" s="128"/>
      <c r="F40" s="128"/>
      <c r="G40" s="133"/>
      <c r="H40" s="129"/>
      <c r="I40" s="1"/>
    </row>
    <row r="41" spans="1:9" x14ac:dyDescent="0.25">
      <c r="A41" s="1"/>
      <c r="B41" s="130" t="s">
        <v>73</v>
      </c>
      <c r="C41" s="131"/>
      <c r="D41" s="131"/>
      <c r="E41" s="131"/>
      <c r="F41" s="132"/>
      <c r="G41" s="62">
        <f>(G35+G36-G37)*(1+'Fane 13. Nøgletal'!C15)</f>
        <v>11531554.857567225</v>
      </c>
      <c r="H41" s="14" t="s">
        <v>3</v>
      </c>
      <c r="I41" s="1"/>
    </row>
    <row r="42" spans="1:9" x14ac:dyDescent="0.25">
      <c r="A42" s="1"/>
      <c r="B42" s="130" t="s">
        <v>197</v>
      </c>
      <c r="C42" s="131"/>
      <c r="D42" s="131"/>
      <c r="E42" s="131"/>
      <c r="F42" s="132"/>
      <c r="G42" s="62">
        <f>('Fane 2.1. Økonomisk ramme 2023'!C9+'Fane 2.1. Økonomisk ramme 2023'!C11+'Fane 2.1. Økonomisk ramme 2023'!C13)*(1+'Fane 13. Nøgletal'!C15)</f>
        <v>786656.95349472016</v>
      </c>
      <c r="H42" s="14" t="s">
        <v>3</v>
      </c>
      <c r="I42" s="1"/>
    </row>
    <row r="43" spans="1:9" x14ac:dyDescent="0.25">
      <c r="A43" s="1"/>
      <c r="B43" s="130" t="s">
        <v>208</v>
      </c>
      <c r="C43" s="131"/>
      <c r="D43" s="131"/>
      <c r="E43" s="131"/>
      <c r="F43" s="132"/>
      <c r="G43" s="62">
        <f>(G41+G42)*'Fane 13. Nøgletal'!C31</f>
        <v>246364.23622123891</v>
      </c>
      <c r="H43" s="14" t="s">
        <v>3</v>
      </c>
      <c r="I43" s="1"/>
    </row>
    <row r="44" spans="1:9" x14ac:dyDescent="0.25">
      <c r="A44" s="1"/>
      <c r="B44" s="72"/>
      <c r="C44" s="73"/>
      <c r="D44" s="73"/>
      <c r="E44" s="73"/>
      <c r="F44" s="73"/>
      <c r="G44" s="63"/>
      <c r="H44" s="19"/>
      <c r="I44" s="1"/>
    </row>
    <row r="45" spans="1:9" x14ac:dyDescent="0.25">
      <c r="A45" s="1"/>
      <c r="B45" s="1"/>
      <c r="C45" s="1"/>
      <c r="D45" s="1"/>
      <c r="E45" s="1"/>
      <c r="F45" s="1"/>
      <c r="G45" s="64"/>
      <c r="H45" s="1"/>
      <c r="I45" s="1"/>
    </row>
    <row r="46" spans="1:9" x14ac:dyDescent="0.25">
      <c r="A46" s="1"/>
      <c r="B46" s="127" t="s">
        <v>199</v>
      </c>
      <c r="C46" s="128"/>
      <c r="D46" s="128"/>
      <c r="E46" s="128"/>
      <c r="F46" s="128"/>
      <c r="G46" s="133"/>
      <c r="H46" s="129"/>
      <c r="I46" s="1"/>
    </row>
    <row r="47" spans="1:9" x14ac:dyDescent="0.25">
      <c r="A47" s="1"/>
      <c r="B47" s="130" t="s">
        <v>122</v>
      </c>
      <c r="C47" s="131"/>
      <c r="D47" s="131"/>
      <c r="E47" s="131"/>
      <c r="F47" s="132"/>
      <c r="G47" s="62">
        <f>(G41+G42-G43)*(1+'Fane 13. Nøgletal'!C15)</f>
        <v>12501605.348505035</v>
      </c>
      <c r="H47" s="14" t="s">
        <v>3</v>
      </c>
      <c r="I47" s="1"/>
    </row>
    <row r="48" spans="1:9" x14ac:dyDescent="0.25">
      <c r="A48" s="1"/>
      <c r="B48" s="130" t="s">
        <v>209</v>
      </c>
      <c r="C48" s="131"/>
      <c r="D48" s="131"/>
      <c r="E48" s="131"/>
      <c r="F48" s="132"/>
      <c r="G48" s="62">
        <f>(G47)*'Fane 13. Nøgletal'!C31</f>
        <v>250032.10697010069</v>
      </c>
      <c r="H48" s="14" t="s">
        <v>3</v>
      </c>
      <c r="I48" s="1"/>
    </row>
    <row r="49" spans="1:9" x14ac:dyDescent="0.25">
      <c r="A49" s="1"/>
      <c r="B49" s="72"/>
      <c r="C49" s="73"/>
      <c r="D49" s="73"/>
      <c r="E49" s="73"/>
      <c r="F49" s="73"/>
      <c r="G49" s="63"/>
      <c r="H49" s="19"/>
      <c r="I49" s="1"/>
    </row>
    <row r="50" spans="1:9" x14ac:dyDescent="0.25">
      <c r="A50" s="1"/>
      <c r="B50" s="1"/>
      <c r="C50" s="1"/>
      <c r="D50" s="1"/>
      <c r="E50" s="1"/>
      <c r="F50" s="1"/>
      <c r="G50" s="64"/>
      <c r="H50" s="1"/>
      <c r="I50" s="1"/>
    </row>
    <row r="51" spans="1:9" x14ac:dyDescent="0.25">
      <c r="A51" s="1"/>
      <c r="B51" s="127" t="s">
        <v>145</v>
      </c>
      <c r="C51" s="128"/>
      <c r="D51" s="128"/>
      <c r="E51" s="128"/>
      <c r="F51" s="128"/>
      <c r="G51" s="133"/>
      <c r="H51" s="129"/>
      <c r="I51" s="1"/>
    </row>
    <row r="52" spans="1:9" x14ac:dyDescent="0.25">
      <c r="A52" s="1"/>
      <c r="B52" s="130" t="s">
        <v>146</v>
      </c>
      <c r="C52" s="131"/>
      <c r="D52" s="131"/>
      <c r="E52" s="131"/>
      <c r="F52" s="132"/>
      <c r="G52" s="62">
        <f>(G47-G48)*(1+'Fane 13. Nøgletal'!C15)</f>
        <v>12687729.248933578</v>
      </c>
      <c r="H52" s="14" t="s">
        <v>3</v>
      </c>
      <c r="I52" s="1"/>
    </row>
    <row r="53" spans="1:9" x14ac:dyDescent="0.25">
      <c r="A53" s="1"/>
      <c r="B53" s="130" t="s">
        <v>147</v>
      </c>
      <c r="C53" s="131"/>
      <c r="D53" s="131"/>
      <c r="E53" s="131"/>
      <c r="F53" s="132"/>
      <c r="G53" s="62">
        <f>(G52)*'Fane 13. Nøgletal'!C31</f>
        <v>253754.58497867157</v>
      </c>
      <c r="H53" s="14" t="s">
        <v>3</v>
      </c>
      <c r="I53" s="1"/>
    </row>
    <row r="54" spans="1:9" x14ac:dyDescent="0.25">
      <c r="A54" s="1"/>
      <c r="B54" s="72"/>
      <c r="C54" s="73"/>
      <c r="D54" s="73"/>
      <c r="E54" s="73"/>
      <c r="F54" s="73"/>
      <c r="G54" s="63"/>
      <c r="H54" s="19"/>
      <c r="I54" s="1"/>
    </row>
    <row r="55" spans="1:9" x14ac:dyDescent="0.25">
      <c r="A55" s="1"/>
      <c r="B55" s="1"/>
      <c r="C55" s="1"/>
      <c r="D55" s="1"/>
      <c r="E55" s="1"/>
      <c r="F55" s="1"/>
      <c r="G55" s="64"/>
      <c r="H55" s="1"/>
      <c r="I55" s="1"/>
    </row>
    <row r="56" spans="1:9" x14ac:dyDescent="0.25">
      <c r="A56" s="1"/>
      <c r="B56" s="127" t="s">
        <v>174</v>
      </c>
      <c r="C56" s="128"/>
      <c r="D56" s="128"/>
      <c r="E56" s="128"/>
      <c r="F56" s="128"/>
      <c r="G56" s="133"/>
      <c r="H56" s="129"/>
      <c r="I56" s="1"/>
    </row>
    <row r="57" spans="1:9" x14ac:dyDescent="0.25">
      <c r="A57" s="1"/>
      <c r="B57" s="130" t="s">
        <v>175</v>
      </c>
      <c r="C57" s="131"/>
      <c r="D57" s="131"/>
      <c r="E57" s="131"/>
      <c r="F57" s="132"/>
      <c r="G57" s="62">
        <f>(G52-G53)*(1+'Fane 13. Nøgletal'!C15)</f>
        <v>12876624.161991702</v>
      </c>
      <c r="H57" s="14" t="s">
        <v>3</v>
      </c>
      <c r="I57" s="1"/>
    </row>
    <row r="58" spans="1:9" x14ac:dyDescent="0.25">
      <c r="A58" s="1"/>
      <c r="B58" s="130" t="s">
        <v>176</v>
      </c>
      <c r="C58" s="131"/>
      <c r="D58" s="131"/>
      <c r="E58" s="131"/>
      <c r="F58" s="132"/>
      <c r="G58" s="62">
        <f>(G57)*'Fane 13. Nøgletal'!C31</f>
        <v>257532.48323983405</v>
      </c>
      <c r="H58" s="14" t="s">
        <v>3</v>
      </c>
      <c r="I58" s="1"/>
    </row>
    <row r="59" spans="1:9" x14ac:dyDescent="0.25">
      <c r="A59" s="1"/>
      <c r="B59" s="72"/>
      <c r="C59" s="73"/>
      <c r="D59" s="73"/>
      <c r="E59" s="73"/>
      <c r="F59" s="73"/>
      <c r="G59" s="39"/>
      <c r="H59" s="19"/>
      <c r="I59" s="1"/>
    </row>
    <row r="60" spans="1:9" x14ac:dyDescent="0.25">
      <c r="A60" s="1"/>
      <c r="B60" s="1"/>
      <c r="C60" s="1"/>
      <c r="D60" s="1"/>
      <c r="E60" s="1"/>
      <c r="F60" s="1"/>
      <c r="G60" s="40"/>
      <c r="H60" s="1"/>
      <c r="I60" s="1"/>
    </row>
    <row r="61" spans="1:9" x14ac:dyDescent="0.25">
      <c r="A61" s="1"/>
      <c r="B61" s="1"/>
      <c r="C61" s="1"/>
      <c r="D61" s="1"/>
      <c r="E61" s="1"/>
      <c r="F61" s="1"/>
      <c r="G61" s="40"/>
      <c r="H61" s="1"/>
      <c r="I61" s="1"/>
    </row>
    <row r="62" spans="1:9" x14ac:dyDescent="0.25">
      <c r="A62" s="1"/>
      <c r="B62" s="1"/>
      <c r="C62" s="1"/>
      <c r="D62" s="1"/>
      <c r="E62" s="1"/>
      <c r="F62" s="1"/>
      <c r="G62" s="40"/>
      <c r="H62" s="1"/>
      <c r="I62" s="1"/>
    </row>
    <row r="63" spans="1:9" x14ac:dyDescent="0.25">
      <c r="A63" s="1"/>
      <c r="B63" s="1"/>
      <c r="C63" s="1"/>
      <c r="D63" s="1"/>
      <c r="E63" s="1"/>
      <c r="F63" s="1"/>
      <c r="G63" s="40"/>
      <c r="H63" s="1"/>
      <c r="I63" s="1"/>
    </row>
    <row r="64" spans="1:9" x14ac:dyDescent="0.25">
      <c r="A64" s="1"/>
      <c r="B64" s="1"/>
      <c r="C64" s="1"/>
      <c r="D64" s="1"/>
      <c r="E64" s="1"/>
      <c r="F64" s="1"/>
      <c r="G64" s="40"/>
      <c r="H64" s="1"/>
      <c r="I64" s="1"/>
    </row>
    <row r="65" spans="1:9" x14ac:dyDescent="0.25">
      <c r="A65" s="1"/>
      <c r="B65" s="1"/>
      <c r="C65" s="1"/>
      <c r="D65" s="1"/>
      <c r="E65" s="1"/>
      <c r="F65" s="1"/>
      <c r="G65" s="40"/>
      <c r="H65" s="1"/>
      <c r="I65" s="1"/>
    </row>
  </sheetData>
  <sheetProtection algorithmName="SHA-512" hashValue="xDuiUt6GhZ6G0wye7/4jmbVmPSH1ydqQw9wwzm4YLb/ACL3Z72KhsE6ZamP6F2qEhy3dPilXFMcNd9UmR6aj9w==" saltValue="DnMwYaawv3tHCXxV+FGZzw=="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18" style="2" customWidth="1"/>
    <col min="7" max="7" width="10.28515625" style="2" customWidth="1"/>
    <col min="8" max="8" width="9" style="2" customWidth="1"/>
    <col min="9" max="9" width="6" style="2" customWidth="1"/>
    <col min="10" max="16384" width="9.140625" style="2"/>
  </cols>
  <sheetData>
    <row r="1" spans="1:9" x14ac:dyDescent="0.25">
      <c r="A1" s="1"/>
      <c r="B1" s="137" t="s">
        <v>99</v>
      </c>
      <c r="C1" s="138"/>
      <c r="D1" s="138"/>
      <c r="E1" s="138"/>
      <c r="F1" s="138"/>
      <c r="G1" s="138"/>
      <c r="H1" s="138"/>
      <c r="I1" s="1"/>
    </row>
    <row r="2" spans="1:9" ht="19.899999999999999" customHeight="1" x14ac:dyDescent="0.25">
      <c r="A2" s="1"/>
      <c r="B2" s="138"/>
      <c r="C2" s="138"/>
      <c r="D2" s="138"/>
      <c r="E2" s="138"/>
      <c r="F2" s="138"/>
      <c r="G2" s="138"/>
      <c r="H2" s="138"/>
      <c r="I2" s="1"/>
    </row>
    <row r="3" spans="1:9" ht="15" customHeight="1" x14ac:dyDescent="0.25">
      <c r="A3" s="1"/>
      <c r="B3" s="139"/>
      <c r="C3" s="139"/>
      <c r="D3" s="139"/>
      <c r="E3" s="139"/>
      <c r="F3" s="139"/>
      <c r="G3" s="139"/>
      <c r="H3" s="139"/>
      <c r="I3" s="1"/>
    </row>
    <row r="4" spans="1:9" x14ac:dyDescent="0.25">
      <c r="A4" s="1"/>
      <c r="B4" s="127" t="s">
        <v>53</v>
      </c>
      <c r="C4" s="128"/>
      <c r="D4" s="128"/>
      <c r="E4" s="128"/>
      <c r="F4" s="128"/>
      <c r="G4" s="128"/>
      <c r="H4" s="129"/>
      <c r="I4" s="1"/>
    </row>
    <row r="5" spans="1:9" x14ac:dyDescent="0.25">
      <c r="A5" s="1"/>
      <c r="B5" s="130" t="s">
        <v>56</v>
      </c>
      <c r="C5" s="131"/>
      <c r="D5" s="131"/>
      <c r="E5" s="131"/>
      <c r="F5" s="132"/>
      <c r="G5" s="62">
        <v>14485768.204734059</v>
      </c>
      <c r="H5" s="14" t="s">
        <v>3</v>
      </c>
      <c r="I5" s="1"/>
    </row>
    <row r="6" spans="1:9" x14ac:dyDescent="0.25">
      <c r="A6" s="1"/>
      <c r="B6" s="130" t="s">
        <v>54</v>
      </c>
      <c r="C6" s="131"/>
      <c r="D6" s="131"/>
      <c r="E6" s="131"/>
      <c r="F6" s="132"/>
      <c r="G6" s="62">
        <f>G5*'Fane 13. Nøgletal'!C20</f>
        <v>131820.49066307995</v>
      </c>
      <c r="H6" s="14" t="s">
        <v>3</v>
      </c>
      <c r="I6" s="1"/>
    </row>
    <row r="7" spans="1:9" x14ac:dyDescent="0.25">
      <c r="A7" s="1"/>
      <c r="B7" s="72"/>
      <c r="C7" s="73"/>
      <c r="D7" s="73"/>
      <c r="E7" s="73"/>
      <c r="F7" s="73"/>
      <c r="G7" s="65"/>
      <c r="H7" s="19"/>
      <c r="I7" s="1"/>
    </row>
    <row r="8" spans="1:9" x14ac:dyDescent="0.25">
      <c r="A8" s="1"/>
      <c r="B8" s="1"/>
      <c r="C8" s="1"/>
      <c r="D8" s="1"/>
      <c r="E8" s="1"/>
      <c r="F8" s="1"/>
      <c r="G8" s="66"/>
      <c r="H8" s="1"/>
      <c r="I8" s="1"/>
    </row>
    <row r="9" spans="1:9" x14ac:dyDescent="0.25">
      <c r="A9" s="1"/>
      <c r="B9" s="127" t="s">
        <v>57</v>
      </c>
      <c r="C9" s="128"/>
      <c r="D9" s="128"/>
      <c r="E9" s="128"/>
      <c r="F9" s="128"/>
      <c r="G9" s="133"/>
      <c r="H9" s="129"/>
      <c r="I9" s="1"/>
    </row>
    <row r="10" spans="1:9" x14ac:dyDescent="0.25">
      <c r="A10" s="1"/>
      <c r="B10" s="130" t="s">
        <v>58</v>
      </c>
      <c r="C10" s="131"/>
      <c r="D10" s="131"/>
      <c r="E10" s="131"/>
      <c r="F10" s="132"/>
      <c r="G10" s="62">
        <f>(G5-G6)*(1+'Fane 13. Nøgletal'!C9)</f>
        <v>14536242.85003968</v>
      </c>
      <c r="H10" s="14" t="s">
        <v>3</v>
      </c>
      <c r="I10" s="1"/>
    </row>
    <row r="11" spans="1:9" x14ac:dyDescent="0.25">
      <c r="A11" s="1"/>
      <c r="B11" s="134" t="s">
        <v>59</v>
      </c>
      <c r="C11" s="135"/>
      <c r="D11" s="135"/>
      <c r="E11" s="135"/>
      <c r="F11" s="136"/>
      <c r="G11" s="67">
        <v>2177089.6065875003</v>
      </c>
      <c r="H11" s="14" t="s">
        <v>3</v>
      </c>
      <c r="I11" s="1"/>
    </row>
    <row r="12" spans="1:9" x14ac:dyDescent="0.25">
      <c r="A12" s="1"/>
      <c r="B12" s="130" t="s">
        <v>60</v>
      </c>
      <c r="C12" s="131"/>
      <c r="D12" s="131"/>
      <c r="E12" s="131"/>
      <c r="F12" s="132"/>
      <c r="G12" s="62">
        <f>G10*'Fane 13. Nøgletal'!C20+G11*'Fane 13. Nøgletal'!C21</f>
        <v>170814.29597195983</v>
      </c>
      <c r="H12" s="14" t="s">
        <v>3</v>
      </c>
      <c r="I12" s="1"/>
    </row>
    <row r="13" spans="1:9" x14ac:dyDescent="0.25">
      <c r="A13" s="1"/>
      <c r="B13" s="72"/>
      <c r="C13" s="73"/>
      <c r="D13" s="73"/>
      <c r="E13" s="73"/>
      <c r="F13" s="73"/>
      <c r="G13" s="65"/>
      <c r="H13" s="19"/>
      <c r="I13" s="1"/>
    </row>
    <row r="14" spans="1:9" x14ac:dyDescent="0.25">
      <c r="A14" s="1"/>
      <c r="B14" s="1"/>
      <c r="C14" s="1"/>
      <c r="D14" s="1"/>
      <c r="E14" s="1"/>
      <c r="F14" s="1"/>
      <c r="G14" s="66"/>
      <c r="H14" s="1"/>
      <c r="I14" s="1"/>
    </row>
    <row r="15" spans="1:9" x14ac:dyDescent="0.25">
      <c r="A15" s="1"/>
      <c r="B15" s="127" t="s">
        <v>61</v>
      </c>
      <c r="C15" s="128"/>
      <c r="D15" s="128"/>
      <c r="E15" s="128"/>
      <c r="F15" s="128"/>
      <c r="G15" s="133"/>
      <c r="H15" s="129"/>
      <c r="I15" s="1"/>
    </row>
    <row r="16" spans="1:9" x14ac:dyDescent="0.25">
      <c r="A16" s="1"/>
      <c r="B16" s="130" t="s">
        <v>62</v>
      </c>
      <c r="C16" s="131"/>
      <c r="D16" s="131"/>
      <c r="E16" s="131"/>
      <c r="F16" s="132"/>
      <c r="G16" s="62">
        <f>(G10+G11-G12)*(1+'Fane 13. Nøgletal'!C11)</f>
        <v>16822086.71757029</v>
      </c>
      <c r="H16" s="14" t="s">
        <v>3</v>
      </c>
      <c r="I16" s="1"/>
    </row>
    <row r="17" spans="1:9" x14ac:dyDescent="0.25">
      <c r="A17" s="1"/>
      <c r="B17" s="130" t="s">
        <v>109</v>
      </c>
      <c r="C17" s="131"/>
      <c r="D17" s="131"/>
      <c r="E17" s="131"/>
      <c r="F17" s="132"/>
      <c r="G17" s="62">
        <v>60818.751125484989</v>
      </c>
      <c r="H17" s="14" t="s">
        <v>3</v>
      </c>
      <c r="I17" s="1"/>
    </row>
    <row r="18" spans="1:9" x14ac:dyDescent="0.25">
      <c r="A18" s="1"/>
      <c r="B18" s="134" t="s">
        <v>63</v>
      </c>
      <c r="C18" s="135"/>
      <c r="D18" s="135"/>
      <c r="E18" s="135"/>
      <c r="F18" s="136"/>
      <c r="G18" s="62">
        <v>1240628.6993133498</v>
      </c>
      <c r="H18" s="14" t="s">
        <v>3</v>
      </c>
      <c r="I18" s="1"/>
    </row>
    <row r="19" spans="1:9" x14ac:dyDescent="0.25">
      <c r="A19" s="1"/>
      <c r="B19" s="130" t="s">
        <v>64</v>
      </c>
      <c r="C19" s="131"/>
      <c r="D19" s="131"/>
      <c r="E19" s="131"/>
      <c r="F19" s="132"/>
      <c r="G19" s="62">
        <f>(G16+G17+G18)*'Fane 13. Nøgletal'!C22</f>
        <v>157674.74726167938</v>
      </c>
      <c r="H19" s="14" t="s">
        <v>3</v>
      </c>
      <c r="I19" s="1"/>
    </row>
    <row r="20" spans="1:9" x14ac:dyDescent="0.25">
      <c r="A20" s="1"/>
      <c r="B20" s="72"/>
      <c r="C20" s="73"/>
      <c r="D20" s="73"/>
      <c r="E20" s="73"/>
      <c r="F20" s="73"/>
      <c r="G20" s="65"/>
      <c r="H20" s="19"/>
      <c r="I20" s="1"/>
    </row>
    <row r="21" spans="1:9" x14ac:dyDescent="0.25">
      <c r="A21" s="1"/>
      <c r="B21" s="1"/>
      <c r="C21" s="1"/>
      <c r="D21" s="1"/>
      <c r="E21" s="1"/>
      <c r="F21" s="1"/>
      <c r="G21" s="66"/>
      <c r="H21" s="1"/>
      <c r="I21" s="1"/>
    </row>
    <row r="22" spans="1:9" x14ac:dyDescent="0.25">
      <c r="A22" s="1"/>
      <c r="B22" s="127" t="s">
        <v>65</v>
      </c>
      <c r="C22" s="128"/>
      <c r="D22" s="128"/>
      <c r="E22" s="128"/>
      <c r="F22" s="128"/>
      <c r="G22" s="133"/>
      <c r="H22" s="129"/>
      <c r="I22" s="1"/>
    </row>
    <row r="23" spans="1:9" x14ac:dyDescent="0.25">
      <c r="A23" s="1"/>
      <c r="B23" s="130" t="s">
        <v>66</v>
      </c>
      <c r="C23" s="131"/>
      <c r="D23" s="131"/>
      <c r="E23" s="131"/>
      <c r="F23" s="132"/>
      <c r="G23" s="62">
        <f>(SUM(G16:G18)-G19)*(1+'Fane 13. Nøgletal'!C11)</f>
        <v>18269482.444958076</v>
      </c>
      <c r="H23" s="14" t="s">
        <v>3</v>
      </c>
      <c r="I23" s="1"/>
    </row>
    <row r="24" spans="1:9" x14ac:dyDescent="0.25">
      <c r="A24" s="1"/>
      <c r="B24" s="134" t="s">
        <v>67</v>
      </c>
      <c r="C24" s="135"/>
      <c r="D24" s="135"/>
      <c r="E24" s="135"/>
      <c r="F24" s="136"/>
      <c r="G24" s="62">
        <v>244960.71681687667</v>
      </c>
      <c r="H24" s="14" t="s">
        <v>3</v>
      </c>
      <c r="I24" s="1"/>
    </row>
    <row r="25" spans="1:9" x14ac:dyDescent="0.25">
      <c r="A25" s="1"/>
      <c r="B25" s="130" t="s">
        <v>68</v>
      </c>
      <c r="C25" s="131"/>
      <c r="D25" s="131"/>
      <c r="E25" s="131"/>
      <c r="F25" s="132"/>
      <c r="G25" s="62">
        <f>G23*'Fane 13. Nøgletal'!C22+G24*'Fane 13. Nøgletal'!C23</f>
        <v>165901.38162873455</v>
      </c>
      <c r="H25" s="14" t="s">
        <v>3</v>
      </c>
      <c r="I25" s="1"/>
    </row>
    <row r="26" spans="1:9" x14ac:dyDescent="0.25">
      <c r="A26" s="1"/>
      <c r="B26" s="72"/>
      <c r="C26" s="73"/>
      <c r="D26" s="73"/>
      <c r="E26" s="73"/>
      <c r="F26" s="73"/>
      <c r="G26" s="65"/>
      <c r="H26" s="19"/>
      <c r="I26" s="1"/>
    </row>
    <row r="27" spans="1:9" x14ac:dyDescent="0.25">
      <c r="A27" s="1"/>
      <c r="B27" s="1"/>
      <c r="C27" s="1"/>
      <c r="D27" s="1"/>
      <c r="E27" s="1"/>
      <c r="F27" s="1"/>
      <c r="G27" s="66"/>
      <c r="H27" s="1"/>
      <c r="I27" s="1"/>
    </row>
    <row r="28" spans="1:9" x14ac:dyDescent="0.25">
      <c r="A28" s="1"/>
      <c r="B28" s="127" t="s">
        <v>130</v>
      </c>
      <c r="C28" s="128"/>
      <c r="D28" s="128"/>
      <c r="E28" s="128"/>
      <c r="F28" s="128"/>
      <c r="G28" s="133"/>
      <c r="H28" s="129"/>
      <c r="I28" s="1"/>
    </row>
    <row r="29" spans="1:9" x14ac:dyDescent="0.25">
      <c r="A29" s="1"/>
      <c r="B29" s="130" t="s">
        <v>69</v>
      </c>
      <c r="C29" s="131"/>
      <c r="D29" s="131"/>
      <c r="E29" s="131"/>
      <c r="F29" s="132"/>
      <c r="G29" s="62">
        <f>(G23+G24-G25)*(1+'Fane 13. Nøgletal'!C13)</f>
        <v>18572393.989864003</v>
      </c>
      <c r="H29" s="14" t="s">
        <v>3</v>
      </c>
      <c r="I29" s="1"/>
    </row>
    <row r="30" spans="1:9" x14ac:dyDescent="0.25">
      <c r="A30" s="1"/>
      <c r="B30" s="130" t="s">
        <v>123</v>
      </c>
      <c r="C30" s="131"/>
      <c r="D30" s="131"/>
      <c r="E30" s="131"/>
      <c r="F30" s="132"/>
      <c r="G30" s="62">
        <v>697211.63291304</v>
      </c>
      <c r="H30" s="14" t="s">
        <v>3</v>
      </c>
      <c r="I30" s="1"/>
    </row>
    <row r="31" spans="1:9" x14ac:dyDescent="0.25">
      <c r="A31" s="1"/>
      <c r="B31" s="130" t="s">
        <v>131</v>
      </c>
      <c r="C31" s="131"/>
      <c r="D31" s="131"/>
      <c r="E31" s="131"/>
      <c r="F31" s="132"/>
      <c r="G31" s="62">
        <f>(G29+G30)*'Fane 13. Nøgletal'!C24</f>
        <v>529914.15462636878</v>
      </c>
      <c r="H31" s="14" t="s">
        <v>3</v>
      </c>
      <c r="I31" s="1"/>
    </row>
    <row r="32" spans="1:9" x14ac:dyDescent="0.25">
      <c r="A32" s="1"/>
      <c r="B32" s="72"/>
      <c r="C32" s="73"/>
      <c r="D32" s="73"/>
      <c r="E32" s="73"/>
      <c r="F32" s="73"/>
      <c r="G32" s="65"/>
      <c r="H32" s="19"/>
      <c r="I32" s="1"/>
    </row>
    <row r="33" spans="1:9" x14ac:dyDescent="0.25">
      <c r="A33" s="1"/>
      <c r="B33" s="1"/>
      <c r="C33" s="1"/>
      <c r="D33" s="1"/>
      <c r="E33" s="1"/>
      <c r="F33" s="1"/>
      <c r="G33" s="66"/>
      <c r="H33" s="1"/>
      <c r="I33" s="1"/>
    </row>
    <row r="34" spans="1:9" x14ac:dyDescent="0.25">
      <c r="A34" s="1"/>
      <c r="B34" s="127" t="s">
        <v>135</v>
      </c>
      <c r="C34" s="128"/>
      <c r="D34" s="128"/>
      <c r="E34" s="128"/>
      <c r="F34" s="128"/>
      <c r="G34" s="133"/>
      <c r="H34" s="129"/>
      <c r="I34" s="1"/>
    </row>
    <row r="35" spans="1:9" x14ac:dyDescent="0.25">
      <c r="A35" s="1"/>
      <c r="B35" s="130" t="s">
        <v>72</v>
      </c>
      <c r="C35" s="131"/>
      <c r="D35" s="131"/>
      <c r="E35" s="131"/>
      <c r="F35" s="132"/>
      <c r="G35" s="62">
        <f>(G29+G30-G31)*(1+'Fane 13. Nøgletal'!C13)</f>
        <v>18968315.704062112</v>
      </c>
      <c r="H35" s="14" t="s">
        <v>3</v>
      </c>
      <c r="I35" s="1"/>
    </row>
    <row r="36" spans="1:9" x14ac:dyDescent="0.25">
      <c r="A36" s="1"/>
      <c r="B36" s="130" t="s">
        <v>141</v>
      </c>
      <c r="C36" s="131"/>
      <c r="D36" s="131"/>
      <c r="E36" s="131"/>
      <c r="F36" s="132"/>
      <c r="G36" s="62">
        <f>SUM('Fane 3. Omkostninger i ØR2022'!E11)*(1+'Fane 13. Nøgletal'!C14)</f>
        <v>488465.9872596201</v>
      </c>
      <c r="H36" s="14" t="s">
        <v>3</v>
      </c>
      <c r="I36" s="1"/>
    </row>
    <row r="37" spans="1:9" x14ac:dyDescent="0.25">
      <c r="A37" s="1"/>
      <c r="B37" s="130" t="s">
        <v>136</v>
      </c>
      <c r="C37" s="131"/>
      <c r="D37" s="131"/>
      <c r="E37" s="131"/>
      <c r="F37" s="132"/>
      <c r="G37" s="62">
        <f>G35*'Fane 13. Nøgletal'!C24+G36*'Fane 13. Nøgletal'!C25</f>
        <v>528857.9784731504</v>
      </c>
      <c r="H37" s="14" t="s">
        <v>3</v>
      </c>
      <c r="I37" s="1"/>
    </row>
    <row r="38" spans="1:9" x14ac:dyDescent="0.25">
      <c r="A38" s="1"/>
      <c r="B38" s="72"/>
      <c r="C38" s="73"/>
      <c r="D38" s="73"/>
      <c r="E38" s="73"/>
      <c r="F38" s="73"/>
      <c r="G38" s="65"/>
      <c r="H38" s="19"/>
      <c r="I38" s="1"/>
    </row>
    <row r="39" spans="1:9" x14ac:dyDescent="0.25">
      <c r="A39" s="1"/>
      <c r="B39" s="1"/>
      <c r="C39" s="1"/>
      <c r="D39" s="1"/>
      <c r="E39" s="1"/>
      <c r="F39" s="1"/>
      <c r="G39" s="66"/>
      <c r="H39" s="1"/>
      <c r="I39" s="1"/>
    </row>
    <row r="40" spans="1:9" x14ac:dyDescent="0.25">
      <c r="A40" s="1"/>
      <c r="B40" s="127" t="s">
        <v>200</v>
      </c>
      <c r="C40" s="128"/>
      <c r="D40" s="128"/>
      <c r="E40" s="128"/>
      <c r="F40" s="128"/>
      <c r="G40" s="133"/>
      <c r="H40" s="129"/>
      <c r="I40" s="1"/>
    </row>
    <row r="41" spans="1:9" x14ac:dyDescent="0.25">
      <c r="A41" s="1"/>
      <c r="B41" s="130" t="s">
        <v>71</v>
      </c>
      <c r="C41" s="131"/>
      <c r="D41" s="131"/>
      <c r="E41" s="131"/>
      <c r="F41" s="132"/>
      <c r="G41" s="62">
        <f>(G35+G36-G37)*(1+'Fane 13. Nøgletal'!C15)</f>
        <v>19601757.797025993</v>
      </c>
      <c r="H41" s="14" t="s">
        <v>3</v>
      </c>
      <c r="I41" s="1"/>
    </row>
    <row r="42" spans="1:9" x14ac:dyDescent="0.25">
      <c r="A42" s="1"/>
      <c r="B42" s="130" t="s">
        <v>211</v>
      </c>
      <c r="C42" s="131"/>
      <c r="D42" s="131"/>
      <c r="E42" s="131"/>
      <c r="F42" s="132"/>
      <c r="G42" s="67">
        <f>SUM('Fane 2.1. Økonomisk ramme 2023'!C10+'Fane 2.1. Økonomisk ramme 2023'!C12+'Fane 2.1. Økonomisk ramme 2023'!C14)*(1+'Fane 13. Nøgletal'!C15)</f>
        <v>1238403.4673437586</v>
      </c>
      <c r="H42" s="14" t="s">
        <v>3</v>
      </c>
      <c r="I42" s="1"/>
    </row>
    <row r="43" spans="1:9" x14ac:dyDescent="0.25">
      <c r="A43" s="1"/>
      <c r="B43" s="130" t="s">
        <v>70</v>
      </c>
      <c r="C43" s="131"/>
      <c r="D43" s="131"/>
      <c r="E43" s="131"/>
      <c r="F43" s="132"/>
      <c r="G43" s="62">
        <f>(G41+G42)*'Fane 13. Nøgletal'!C26</f>
        <v>0</v>
      </c>
      <c r="H43" s="14" t="s">
        <v>3</v>
      </c>
      <c r="I43" s="1"/>
    </row>
    <row r="44" spans="1:9" x14ac:dyDescent="0.25">
      <c r="A44" s="1"/>
      <c r="B44" s="72"/>
      <c r="C44" s="73"/>
      <c r="D44" s="73"/>
      <c r="E44" s="73"/>
      <c r="F44" s="73"/>
      <c r="G44" s="65"/>
      <c r="H44" s="19"/>
      <c r="I44" s="1"/>
    </row>
    <row r="45" spans="1:9" ht="12" customHeight="1" x14ac:dyDescent="0.25">
      <c r="A45" s="1"/>
      <c r="B45" s="1"/>
      <c r="C45" s="1"/>
      <c r="D45" s="1"/>
      <c r="E45" s="1"/>
      <c r="F45" s="1"/>
      <c r="G45" s="66"/>
      <c r="H45" s="1"/>
      <c r="I45" s="1"/>
    </row>
    <row r="46" spans="1:9" x14ac:dyDescent="0.25">
      <c r="A46" s="1"/>
      <c r="B46" s="127" t="s">
        <v>201</v>
      </c>
      <c r="C46" s="128"/>
      <c r="D46" s="128"/>
      <c r="E46" s="128"/>
      <c r="F46" s="128"/>
      <c r="G46" s="133"/>
      <c r="H46" s="129"/>
      <c r="I46" s="1"/>
    </row>
    <row r="47" spans="1:9" x14ac:dyDescent="0.25">
      <c r="A47" s="1"/>
      <c r="B47" s="130" t="s">
        <v>124</v>
      </c>
      <c r="C47" s="131"/>
      <c r="D47" s="131"/>
      <c r="E47" s="131"/>
      <c r="F47" s="132"/>
      <c r="G47" s="62">
        <f>(G41+G42-G43)*(1+'Fane 13. Nøgletal'!C15)</f>
        <v>21582071.005381316</v>
      </c>
      <c r="H47" s="14" t="s">
        <v>3</v>
      </c>
      <c r="I47" s="1"/>
    </row>
    <row r="48" spans="1:9" x14ac:dyDescent="0.25">
      <c r="A48" s="1"/>
      <c r="B48" s="130" t="s">
        <v>125</v>
      </c>
      <c r="C48" s="131"/>
      <c r="D48" s="131"/>
      <c r="E48" s="131"/>
      <c r="F48" s="132"/>
      <c r="G48" s="62">
        <f>(G47)*'Fane 13. Nøgletal'!C26</f>
        <v>0</v>
      </c>
      <c r="H48" s="14" t="s">
        <v>3</v>
      </c>
      <c r="I48" s="1"/>
    </row>
    <row r="49" spans="1:9" x14ac:dyDescent="0.25">
      <c r="A49" s="1"/>
      <c r="B49" s="72"/>
      <c r="C49" s="73"/>
      <c r="D49" s="73"/>
      <c r="E49" s="73"/>
      <c r="F49" s="73"/>
      <c r="G49" s="65"/>
      <c r="H49" s="19"/>
      <c r="I49" s="1"/>
    </row>
    <row r="50" spans="1:9" x14ac:dyDescent="0.25">
      <c r="A50" s="1"/>
      <c r="B50" s="1"/>
      <c r="C50" s="1"/>
      <c r="D50" s="1"/>
      <c r="E50" s="1"/>
      <c r="F50" s="1"/>
      <c r="G50" s="66"/>
      <c r="H50" s="1"/>
      <c r="I50" s="1"/>
    </row>
    <row r="51" spans="1:9" x14ac:dyDescent="0.25">
      <c r="A51" s="1"/>
      <c r="B51" s="127" t="s">
        <v>142</v>
      </c>
      <c r="C51" s="128"/>
      <c r="D51" s="128"/>
      <c r="E51" s="128"/>
      <c r="F51" s="128"/>
      <c r="G51" s="133"/>
      <c r="H51" s="129"/>
      <c r="I51" s="1"/>
    </row>
    <row r="52" spans="1:9" x14ac:dyDescent="0.25">
      <c r="A52" s="1"/>
      <c r="B52" s="130" t="s">
        <v>143</v>
      </c>
      <c r="C52" s="131"/>
      <c r="D52" s="131"/>
      <c r="E52" s="131"/>
      <c r="F52" s="132"/>
      <c r="G52" s="62">
        <f>(G47-G48)*(1+'Fane 13. Nøgletal'!C15)</f>
        <v>22350392.733172894</v>
      </c>
      <c r="H52" s="14" t="s">
        <v>3</v>
      </c>
      <c r="I52" s="1"/>
    </row>
    <row r="53" spans="1:9" x14ac:dyDescent="0.25">
      <c r="A53" s="1"/>
      <c r="B53" s="130" t="s">
        <v>144</v>
      </c>
      <c r="C53" s="131"/>
      <c r="D53" s="131"/>
      <c r="E53" s="131"/>
      <c r="F53" s="132"/>
      <c r="G53" s="62">
        <f>(G52)*'Fane 13. Nøgletal'!C26</f>
        <v>0</v>
      </c>
      <c r="H53" s="14" t="s">
        <v>3</v>
      </c>
      <c r="I53" s="1"/>
    </row>
    <row r="54" spans="1:9" x14ac:dyDescent="0.25">
      <c r="A54" s="1"/>
      <c r="B54" s="72"/>
      <c r="C54" s="73"/>
      <c r="D54" s="73"/>
      <c r="E54" s="73"/>
      <c r="F54" s="73"/>
      <c r="G54" s="65"/>
      <c r="H54" s="19"/>
      <c r="I54" s="1"/>
    </row>
    <row r="55" spans="1:9" x14ac:dyDescent="0.25">
      <c r="A55" s="1"/>
      <c r="B55" s="1"/>
      <c r="C55" s="1"/>
      <c r="D55" s="1"/>
      <c r="E55" s="1"/>
      <c r="F55" s="1"/>
      <c r="G55" s="66"/>
      <c r="H55" s="1"/>
      <c r="I55" s="1"/>
    </row>
    <row r="56" spans="1:9" x14ac:dyDescent="0.25">
      <c r="A56" s="1"/>
      <c r="B56" s="127" t="s">
        <v>177</v>
      </c>
      <c r="C56" s="128"/>
      <c r="D56" s="128"/>
      <c r="E56" s="128"/>
      <c r="F56" s="128"/>
      <c r="G56" s="133"/>
      <c r="H56" s="129"/>
      <c r="I56" s="1"/>
    </row>
    <row r="57" spans="1:9" x14ac:dyDescent="0.25">
      <c r="A57" s="1"/>
      <c r="B57" s="130" t="s">
        <v>178</v>
      </c>
      <c r="C57" s="131"/>
      <c r="D57" s="131"/>
      <c r="E57" s="131"/>
      <c r="F57" s="132"/>
      <c r="G57" s="62">
        <f>(G52-G53)*(1+'Fane 13. Nøgletal'!C15)</f>
        <v>23146066.714473851</v>
      </c>
      <c r="H57" s="14" t="s">
        <v>3</v>
      </c>
      <c r="I57" s="1"/>
    </row>
    <row r="58" spans="1:9" x14ac:dyDescent="0.25">
      <c r="A58" s="1"/>
      <c r="B58" s="130" t="s">
        <v>179</v>
      </c>
      <c r="C58" s="131"/>
      <c r="D58" s="131"/>
      <c r="E58" s="131"/>
      <c r="F58" s="132"/>
      <c r="G58" s="62">
        <f>(G57)*'Fane 13. Nøgletal'!C26</f>
        <v>0</v>
      </c>
      <c r="H58" s="14" t="s">
        <v>3</v>
      </c>
      <c r="I58" s="1"/>
    </row>
    <row r="59" spans="1:9" x14ac:dyDescent="0.25">
      <c r="A59" s="1"/>
      <c r="B59" s="72"/>
      <c r="C59" s="73"/>
      <c r="D59" s="73"/>
      <c r="E59" s="73"/>
      <c r="F59" s="73"/>
      <c r="G59" s="73"/>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FEugphuSOT+mNPhd6o1Trtn3s9UryqspXfXcX3N+bx3wqjKGviMp2tTarbpPhnfs+shIc23xPKrzf30yvbtXnw==" saltValue="wkuWmAJDZx6JRpUCyXt3Dg=="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4" t="s">
        <v>82</v>
      </c>
      <c r="C3" s="104"/>
      <c r="D3" s="104"/>
      <c r="E3" s="104"/>
      <c r="F3" s="104"/>
      <c r="G3" s="104"/>
      <c r="H3" s="1"/>
    </row>
    <row r="4" spans="1:8" ht="15" customHeight="1" x14ac:dyDescent="0.25">
      <c r="A4" s="1"/>
      <c r="B4" s="104"/>
      <c r="C4" s="104"/>
      <c r="D4" s="104"/>
      <c r="E4" s="104"/>
      <c r="F4" s="104"/>
      <c r="G4" s="10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81" t="s">
        <v>180</v>
      </c>
      <c r="C9" s="82"/>
      <c r="D9" s="82"/>
      <c r="E9" s="82"/>
      <c r="F9" s="83"/>
      <c r="G9" s="28">
        <v>0.02</v>
      </c>
      <c r="H9" s="1"/>
    </row>
    <row r="10" spans="1:8" x14ac:dyDescent="0.25">
      <c r="A10" s="1"/>
      <c r="B10" s="72"/>
      <c r="C10" s="73"/>
      <c r="D10" s="73"/>
      <c r="E10" s="73"/>
      <c r="F10" s="73"/>
      <c r="G10" s="19"/>
      <c r="H10" s="1"/>
    </row>
    <row r="11" spans="1:8" x14ac:dyDescent="0.25">
      <c r="A11" s="1"/>
      <c r="B11" s="1"/>
      <c r="C11" s="1"/>
      <c r="D11" s="1"/>
      <c r="E11" s="1"/>
      <c r="F11" s="1"/>
      <c r="G11" s="1"/>
      <c r="H11" s="1"/>
    </row>
    <row r="12" spans="1:8" ht="31.5" customHeight="1" x14ac:dyDescent="0.25">
      <c r="A12" s="1"/>
      <c r="B12" s="140" t="s">
        <v>202</v>
      </c>
      <c r="C12" s="140"/>
      <c r="D12" s="140"/>
      <c r="E12" s="140"/>
      <c r="F12" s="140"/>
      <c r="G12" s="14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kPuxQ9UDme3Qly7aWGwtKVnyt0CGD8IZJp9j2ikvzPW/4rHegNXyOtsJfGiItBVOem/UiLSgi+rMhftKptWO5g==" saltValue="N2JvlruYxWcWI/z64bPn+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2022-12-01T09:33:28Z</dcterms:modified>
</cp:coreProperties>
</file>