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Energi Viborg Vand AS (V043)\ØR2023\"/>
    </mc:Choice>
  </mc:AlternateContent>
  <bookViews>
    <workbookView xWindow="3120" yWindow="990" windowWidth="12750" windowHeight="4620" tabRatio="872" firstSheet="1" activeTab="1"/>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<sst xmlns="http://schemas.openxmlformats.org/spreadsheetml/2006/main" count="509" uniqueCount="254">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</sst>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ILqlOsxWsh8kGlC9fPFgJjaFgsyZKp2WhNJy/AVnXbMBS4+RCUSdkua91GLM3MA7SuWO5ZiQtLcZoGIEgLCkhA==" saltValue="JonEa61UlWLQaaZh5QXbC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3" t="s">
        <v>30</v>
      </c>
      <c r="C9" s="11" t="s">
        <v>212</v>
      </c>
      <c r="D9" s="11"/>
      <c r="E9" s="1"/>
      <c r="F9" s="1"/>
    </row>
    <row r="10" spans="1:6" x14ac:dyDescent="0.25">
      <c r="A10" s="1"/>
      <c r="B10" s="79" t="s">
        <v>231</v>
      </c>
      <c r="C10" s="9">
        <v>15117354</v>
      </c>
      <c r="D10" s="14" t="s">
        <v>3</v>
      </c>
      <c r="E10" s="1"/>
      <c r="F10" s="1"/>
    </row>
    <row r="11" spans="1:6" x14ac:dyDescent="0.25">
      <c r="A11" s="1"/>
      <c r="B11" s="79" t="s">
        <v>232</v>
      </c>
      <c r="C11" s="9">
        <v>92664</v>
      </c>
      <c r="D11" s="14" t="s">
        <v>3</v>
      </c>
      <c r="E11" s="1"/>
      <c r="F11" s="1"/>
    </row>
    <row r="12" spans="1:6" x14ac:dyDescent="0.25">
      <c r="A12" s="1"/>
      <c r="B12" s="79" t="s">
        <v>233</v>
      </c>
      <c r="C12" s="9">
        <v>64553</v>
      </c>
      <c r="D12" s="14" t="s">
        <v>3</v>
      </c>
      <c r="E12" s="1"/>
      <c r="F12" s="1"/>
    </row>
    <row r="13" spans="1:6" x14ac:dyDescent="0.25">
      <c r="A13" s="1"/>
      <c r="B13" s="79" t="s">
        <v>234</v>
      </c>
      <c r="C13" s="9">
        <v>30292</v>
      </c>
      <c r="D13" s="14" t="s">
        <v>3</v>
      </c>
      <c r="E13" s="1"/>
      <c r="F13" s="1"/>
    </row>
    <row r="14" spans="1:6" x14ac:dyDescent="0.25">
      <c r="A14" s="1"/>
      <c r="B14" s="71" t="s">
        <v>182</v>
      </c>
      <c r="C14" s="12">
        <f>SUM(C10:C13)</f>
        <v>15304863</v>
      </c>
      <c r="D14" s="13" t="s">
        <v>3</v>
      </c>
      <c r="E14" s="1"/>
      <c r="F14" s="1"/>
    </row>
    <row r="15" spans="1:6" x14ac:dyDescent="0.25">
      <c r="A15" s="1"/>
      <c r="B15" s="71" t="s">
        <v>183</v>
      </c>
      <c r="C15" s="12">
        <f>C14*(1+'Fane 13. Nøgletal'!C15)^2</f>
        <v>16413966.016771682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ut0j65vFDlDpmb21FTUKJS+7mbS6EWdlsghWK4eh2Hi+XDV6q2I0uJXdTOnfaEw/kH1CZKAWwbD3KE+WqqdfQ==" saltValue="VWu8JWD2n2CEyiBRko9NP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-318078</v>
      </c>
      <c r="F9" s="14" t="s">
        <v>3</v>
      </c>
      <c r="G9" s="1"/>
    </row>
    <row r="10" spans="1:7" x14ac:dyDescent="0.25">
      <c r="A10" s="1"/>
      <c r="B10" s="141" t="s">
        <v>235</v>
      </c>
      <c r="C10" s="142"/>
      <c r="D10" s="143"/>
      <c r="E10" s="9">
        <v>-318078</v>
      </c>
      <c r="F10" s="54" t="s">
        <v>3</v>
      </c>
      <c r="G10" s="1"/>
    </row>
    <row r="11" spans="1:7" x14ac:dyDescent="0.25">
      <c r="A11" s="1"/>
      <c r="B11" s="126" t="s">
        <v>185</v>
      </c>
      <c r="C11" s="127"/>
      <c r="D11" s="128"/>
      <c r="E11" s="9">
        <v>540755.66809329391</v>
      </c>
      <c r="F11" s="14" t="s">
        <v>3</v>
      </c>
      <c r="G11" s="1"/>
    </row>
    <row r="12" spans="1:7" x14ac:dyDescent="0.25">
      <c r="A12" s="1"/>
      <c r="B12" s="71"/>
      <c r="C12" s="72"/>
      <c r="D12" s="72"/>
      <c r="E12" s="72"/>
      <c r="F12" s="19"/>
      <c r="G12" s="1"/>
    </row>
    <row r="13" spans="1:7" ht="64.900000000000006" customHeight="1" x14ac:dyDescent="0.25">
      <c r="A13" s="1"/>
      <c r="B13" s="102" t="s">
        <v>251</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236</v>
      </c>
      <c r="C16" s="127"/>
      <c r="D16" s="128"/>
      <c r="E16" s="9">
        <v>0</v>
      </c>
      <c r="F16" s="14" t="s">
        <v>3</v>
      </c>
      <c r="G16" s="1"/>
    </row>
    <row r="17" spans="1:7" x14ac:dyDescent="0.25">
      <c r="A17" s="1"/>
      <c r="B17" s="126" t="s">
        <v>237</v>
      </c>
      <c r="C17" s="127"/>
      <c r="D17" s="128"/>
      <c r="E17" s="9">
        <v>0</v>
      </c>
      <c r="F17" s="14" t="s">
        <v>3</v>
      </c>
      <c r="G17" s="1"/>
    </row>
    <row r="18" spans="1:7" x14ac:dyDescent="0.25">
      <c r="A18" s="1"/>
      <c r="B18" s="71"/>
      <c r="C18" s="72"/>
      <c r="D18" s="72"/>
      <c r="E18" s="72"/>
      <c r="F18" s="19"/>
      <c r="G18" s="1"/>
    </row>
    <row r="19" spans="1:7" ht="31.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238</v>
      </c>
      <c r="C22" s="77"/>
      <c r="D22" s="78"/>
      <c r="E22" s="9">
        <v>41914219.704310179</v>
      </c>
      <c r="F22" s="14" t="s">
        <v>3</v>
      </c>
      <c r="G22" s="1"/>
    </row>
    <row r="23" spans="1:7" x14ac:dyDescent="0.25">
      <c r="A23" s="1"/>
      <c r="B23" s="76" t="s">
        <v>187</v>
      </c>
      <c r="C23" s="77"/>
      <c r="D23" s="78"/>
      <c r="E23" s="9">
        <v>42096460</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-182240.29568982124</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19" t="s">
        <v>239</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4hMmRjBkzt0+dvHU2ji/e86HfxE5XZjDKz6/9HKxJyi+5XNv+bdxYJgq3AHJgqUIgvxXFiLXhwnF6HKnMQPc9w==" saltValue="H4jHk512weGUbR8KZTtVr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243</v>
      </c>
      <c r="C10" s="148"/>
      <c r="D10" s="148"/>
      <c r="E10" s="148"/>
      <c r="F10" s="149"/>
      <c r="G10" s="56">
        <v>0</v>
      </c>
      <c r="H10" s="9" t="s">
        <v>3</v>
      </c>
      <c r="I10" s="1"/>
    </row>
    <row r="11" spans="1:9" x14ac:dyDescent="0.25">
      <c r="A11" s="1"/>
      <c r="B11" s="147" t="s">
        <v>244</v>
      </c>
      <c r="C11" s="148"/>
      <c r="D11" s="148"/>
      <c r="E11" s="148"/>
      <c r="F11" s="149"/>
      <c r="G11" s="56">
        <v>0</v>
      </c>
      <c r="H11" s="9" t="s">
        <v>3</v>
      </c>
      <c r="I11" s="1"/>
    </row>
    <row r="12" spans="1:9" x14ac:dyDescent="0.25">
      <c r="A12" s="1"/>
      <c r="B12" s="147" t="s">
        <v>245</v>
      </c>
      <c r="C12" s="148"/>
      <c r="D12" s="148"/>
      <c r="E12" s="148"/>
      <c r="F12" s="149"/>
      <c r="G12" s="9">
        <v>0</v>
      </c>
      <c r="H12" s="9" t="s">
        <v>3</v>
      </c>
      <c r="I12" s="1"/>
    </row>
    <row r="13" spans="1:9" x14ac:dyDescent="0.25">
      <c r="A13" s="1"/>
      <c r="B13" s="147" t="s">
        <v>246</v>
      </c>
      <c r="C13" s="148"/>
      <c r="D13" s="148"/>
      <c r="E13" s="148"/>
      <c r="F13" s="149"/>
      <c r="G13" s="9">
        <v>0</v>
      </c>
      <c r="H13" s="9" t="s">
        <v>3</v>
      </c>
      <c r="I13" s="1"/>
    </row>
    <row r="14" spans="1:9" x14ac:dyDescent="0.25">
      <c r="A14" s="1"/>
      <c r="B14" s="147" t="s">
        <v>247</v>
      </c>
      <c r="C14" s="148"/>
      <c r="D14" s="148"/>
      <c r="E14" s="148"/>
      <c r="F14" s="149"/>
      <c r="G14" s="9">
        <v>0</v>
      </c>
      <c r="H14" s="9" t="s">
        <v>3</v>
      </c>
      <c r="I14" s="1"/>
    </row>
    <row r="15" spans="1:9" x14ac:dyDescent="0.25">
      <c r="A15" s="1"/>
      <c r="B15" s="147" t="s">
        <v>248</v>
      </c>
      <c r="C15" s="148"/>
      <c r="D15" s="148"/>
      <c r="E15" s="148"/>
      <c r="F15" s="149"/>
      <c r="G15" s="9">
        <v>0</v>
      </c>
      <c r="H15" s="9" t="s">
        <v>3</v>
      </c>
      <c r="I15" s="1"/>
    </row>
    <row r="16" spans="1:9" x14ac:dyDescent="0.25">
      <c r="A16" s="1"/>
      <c r="B16" s="147" t="s">
        <v>249</v>
      </c>
      <c r="C16" s="148"/>
      <c r="D16" s="148"/>
      <c r="E16" s="148"/>
      <c r="F16" s="149"/>
      <c r="G16" s="9">
        <v>0</v>
      </c>
      <c r="H16" s="9" t="s">
        <v>3</v>
      </c>
      <c r="I16" s="1"/>
    </row>
    <row r="17" spans="1:9" x14ac:dyDescent="0.25">
      <c r="A17" s="1"/>
      <c r="B17" s="147" t="s">
        <v>250</v>
      </c>
      <c r="C17" s="148"/>
      <c r="D17" s="148"/>
      <c r="E17" s="148"/>
      <c r="F17" s="149"/>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fnhGhg6jluF5eLCYSHLp5lSWcDEqJywQM0K9818gujVXv26s8GEC1gJFElA5M3YbUvH2Tav9g1fpOfIktxmCQ==" saltValue="OY0oz42g1XLa26Sy0GKsI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yRHACj+jlq8dtx3vkX3EFe2fk9QQd0hcjqePBaX8aNsUF0BtsI5RVR7+4I17NDT8UNz4onm+SDMcVwJRG4K+/g==" saltValue="+Yri4iVe57Ptj1VieDtmb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9766</v>
      </c>
      <c r="D11" s="14" t="s">
        <v>3</v>
      </c>
      <c r="E11" s="9">
        <v>12846</v>
      </c>
      <c r="F11" s="14" t="s">
        <v>3</v>
      </c>
      <c r="G11" s="1"/>
    </row>
    <row r="12" spans="1:7" x14ac:dyDescent="0.25">
      <c r="A12" s="1"/>
      <c r="B12" s="71" t="s">
        <v>148</v>
      </c>
      <c r="C12" s="12">
        <f>SUM(C10:C11)</f>
        <v>9766</v>
      </c>
      <c r="D12" s="13" t="s">
        <v>3</v>
      </c>
      <c r="E12" s="12">
        <f>SUM(E10:E11)</f>
        <v>12846</v>
      </c>
      <c r="F12" s="13" t="s">
        <v>3</v>
      </c>
      <c r="G12" s="1"/>
    </row>
    <row r="13" spans="1:7" x14ac:dyDescent="0.25">
      <c r="A13" s="1"/>
      <c r="B13" s="71" t="s">
        <v>188</v>
      </c>
      <c r="C13" s="12">
        <f>C12*(1+'Fane 13. Nøgletal'!C15)</f>
        <v>10113.669600000001</v>
      </c>
      <c r="D13" s="13" t="s">
        <v>3</v>
      </c>
      <c r="E13" s="12">
        <f>E12*(1+'Fane 13. Nøgletal'!C15)</f>
        <v>13303.3176</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CXyq0KRAq9Ka0+eo5elW3pSpa/WiqbhIT8Foc2XYMI/3JE0w+5A5oeM+PszLqBycrlvb1L802NSHVvkOnQREA==" saltValue="ROyh7Wipr1cYbXrmYVq9Z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9" t="s">
        <v>15</v>
      </c>
      <c r="C10" s="69" t="s">
        <v>10</v>
      </c>
      <c r="D10" s="70"/>
      <c r="E10" s="69" t="s">
        <v>29</v>
      </c>
      <c r="F10" s="66"/>
      <c r="G10" s="1"/>
    </row>
    <row r="11" spans="1:7" x14ac:dyDescent="0.25">
      <c r="A11" s="1"/>
      <c r="B11" s="22" t="s">
        <v>253</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0+G0HH8ozMcdJmV7xP059nVQJBiG9aAnrOIaOeOXELc57YxkqBKAS/5ow0DRK42MpKJSSyD6FBI/GPZIymEGA==" saltValue="nSdwMvvwScMdKQxAkjzYk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5" t="s">
        <v>113</v>
      </c>
      <c r="C9" s="111" t="s">
        <v>10</v>
      </c>
      <c r="D9" s="113"/>
      <c r="E9" s="111" t="s">
        <v>29</v>
      </c>
      <c r="F9" s="113"/>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PdpxY9k5NqVad7li8ai7w2SeS1etIDYFfs5VzCCAbyMVMZRx98lD95eZ9hgMVT6bT8Znxug5eufEKra/VpL3LQ==" saltValue="Dpxfw3OlqpHNzBWy7+SpV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customHeight="1" x14ac:dyDescent="0.25">
      <c r="A11" s="1"/>
      <c r="B11" s="65" t="s">
        <v>16</v>
      </c>
      <c r="C11" s="65" t="s">
        <v>10</v>
      </c>
      <c r="D11" s="66"/>
      <c r="E11" s="111" t="s">
        <v>29</v>
      </c>
      <c r="F11" s="113"/>
      <c r="G11" s="1"/>
    </row>
    <row r="12" spans="1:7" x14ac:dyDescent="0.25">
      <c r="A12" s="1"/>
      <c r="B12" s="22" t="s">
        <v>241</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6bykkp22SPRd8jHuO6VnmcEeyPs7IFaBrFOjNdU0d1z61oSrLkz9+b6J1zFrTPcQl3FRxLX1O7mhbUcirlKtg==" saltValue="WP8lX1GCmIAQQaood8T3yg=="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2" t="s">
        <v>225</v>
      </c>
      <c r="C3" s="122"/>
      <c r="D3" s="1"/>
    </row>
    <row r="4" spans="1:4" ht="25.5" customHeight="1" x14ac:dyDescent="0.25">
      <c r="A4" s="1"/>
      <c r="B4" s="122"/>
      <c r="C4" s="12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19"/>
      <c r="C16" s="121"/>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71"/>
      <c r="D27" s="1"/>
    </row>
    <row r="28" spans="1:4" x14ac:dyDescent="0.25">
      <c r="A28" s="1"/>
      <c r="B28" s="1"/>
      <c r="C28" s="44"/>
      <c r="D28" s="1"/>
    </row>
    <row r="29" spans="1:4" x14ac:dyDescent="0.25">
      <c r="A29" s="1"/>
      <c r="B29" s="1"/>
      <c r="C29" s="1"/>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Irg4V58ZcDDxUK4GBYwpUy+4TJU6iEu4QPRFdy+yUdzwz4QrI/M82AK/C5OSiBYl2q5nM4ZWEeotPuyIIzBRWA==" saltValue="/c6JI7G6FP61+GGdnbf6f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tabSelected="1" view="pageLayout" zoomScaleNormal="100" workbookViewId="0">
      <selection activeCell="B32" sqref="B32"/>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26036882.969413552</v>
      </c>
      <c r="D8" s="8" t="s">
        <v>3</v>
      </c>
      <c r="E8" s="1"/>
    </row>
    <row r="9" spans="1:5" ht="17.25" customHeight="1" x14ac:dyDescent="0.25">
      <c r="A9" s="1"/>
      <c r="B9" s="23" t="s">
        <v>35</v>
      </c>
      <c r="C9" s="7">
        <f>'Fane 10.1. Varige tillæg'!C13</f>
        <v>10113.669600000001</v>
      </c>
      <c r="D9" s="8" t="s">
        <v>3</v>
      </c>
      <c r="E9" s="1"/>
    </row>
    <row r="10" spans="1:5" ht="17.25" customHeight="1" x14ac:dyDescent="0.25">
      <c r="A10" s="1"/>
      <c r="B10" s="23" t="s">
        <v>36</v>
      </c>
      <c r="C10" s="9">
        <f>'Fane 10.1. Varige tillæg'!E13</f>
        <v>13303.3176</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927746.67845544242</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-255478.40472139019</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26732568.230347604</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omk.'!C15</f>
        <v>16413966.016771682</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43146534.247119285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2hCqR+aY4WUeTMm3qIhcFQnxUU6OpktNsjiftP3U7sO8LqiuCdM4zw5iVUmX4p5EEwjH3XuAntBD7sliKGi0Q==" saltValue="oB81Yfjr5Re0f1I6kT+78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26732568.230347604</v>
      </c>
      <c r="D8" s="8" t="s">
        <v>3</v>
      </c>
      <c r="E8" s="1"/>
    </row>
    <row r="9" spans="1:5" ht="15" customHeight="1" x14ac:dyDescent="0.25">
      <c r="A9" s="1"/>
      <c r="B9" s="64" t="s">
        <v>17</v>
      </c>
      <c r="C9" s="9">
        <f>SUM(C8:C8)*'Fane 13. Nøgletal'!C15</f>
        <v>951679.42900037463</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-259281.96721088229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27424965.692137096</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f>
        <v>16998303.206968755</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44423268.899105847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qUfaYGyIe6iHp48tO+FrasnN30/7Sjz2Bod6TKRSLxyuzPB5YqEyMWBCzQrN2jNvA4Kai6PcZK+5jUuIWsaPw==" saltValue="EiRsBCNe7/ney4KwqzGH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27424965.692137096</v>
      </c>
      <c r="D8" s="8" t="s">
        <v>3</v>
      </c>
      <c r="E8" s="1"/>
    </row>
    <row r="9" spans="1:5" ht="15" customHeight="1" x14ac:dyDescent="0.25">
      <c r="A9" s="1"/>
      <c r="B9" s="64" t="s">
        <v>17</v>
      </c>
      <c r="C9" s="9">
        <f>SUM(C8:C8)*'Fane 13. Nøgletal'!C15</f>
        <v>976328.77864008059</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-263142.15713871794</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28138152.31363846</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Nøgletal'!C15)^2</f>
        <v>17603442.801136844</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45741595.1147753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mNaqPw6oPfp1JjMiZL17A2z3977G9DkcduIwxiJWJtriJeo79O68ob5fmwb51OEvQWxbt6Sbeea/RYhwPmrw==" saltValue="QhBXIOm4Q42OVzKwb0vWh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28138152.31363846</v>
      </c>
      <c r="D8" s="8" t="s">
        <v>3</v>
      </c>
      <c r="E8" s="1"/>
    </row>
    <row r="9" spans="1:5" ht="15" customHeight="1" x14ac:dyDescent="0.25">
      <c r="A9" s="1"/>
      <c r="B9" s="64" t="s">
        <v>17</v>
      </c>
      <c r="C9" s="9">
        <f>SUM(C8:C8)*'Fane 13. Nøgletal'!C15</f>
        <v>1001718.2223655292</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-267059.81757419917</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28872810.718429789</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Nøgletal'!C15)^3</f>
        <v>18230125.364857316</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47102936.083287105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jn1nvfYh0GgGYOTLTn2W/mE2G/1cWx8j5YRqhGngvQBbocU7+XtTXvZuLDc7PjjQeQIoPCyUXR8iy08MgEbyg==" saltValue="9xfa+gou3wPuzWhYtxnxX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23" t="s">
        <v>22</v>
      </c>
      <c r="C9" s="124"/>
      <c r="D9" s="125"/>
      <c r="E9" s="7">
        <v>26582846.469040193</v>
      </c>
      <c r="F9" s="8" t="s">
        <v>3</v>
      </c>
      <c r="G9" s="1"/>
    </row>
    <row r="10" spans="1:7" ht="15" customHeight="1" x14ac:dyDescent="0.25">
      <c r="A10" s="1"/>
      <c r="B10" s="105" t="s">
        <v>35</v>
      </c>
      <c r="C10" s="106"/>
      <c r="D10" s="107"/>
      <c r="E10" s="9">
        <v>15077.592400000001</v>
      </c>
      <c r="F10" s="8" t="s">
        <v>3</v>
      </c>
      <c r="G10" s="1"/>
    </row>
    <row r="11" spans="1:7" ht="15" customHeight="1" x14ac:dyDescent="0.25">
      <c r="A11" s="1"/>
      <c r="B11" s="105" t="s">
        <v>36</v>
      </c>
      <c r="C11" s="106"/>
      <c r="D11" s="107"/>
      <c r="E11" s="9">
        <v>13616.787600000001</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324405.41837629041</v>
      </c>
      <c r="F16" s="8" t="s">
        <v>3</v>
      </c>
      <c r="G16" s="30"/>
    </row>
    <row r="17" spans="1:7" x14ac:dyDescent="0.25">
      <c r="A17" s="1"/>
      <c r="B17" s="105" t="s">
        <v>9</v>
      </c>
      <c r="C17" s="106"/>
      <c r="D17" s="107"/>
      <c r="E17" s="9">
        <v>-222032.18116811334</v>
      </c>
      <c r="F17" s="8" t="s">
        <v>3</v>
      </c>
      <c r="G17" s="1"/>
    </row>
    <row r="18" spans="1:7" x14ac:dyDescent="0.25">
      <c r="A18" s="1"/>
      <c r="B18" s="105" t="s">
        <v>23</v>
      </c>
      <c r="C18" s="106"/>
      <c r="D18" s="107"/>
      <c r="E18" s="9">
        <v>-251524.23754802009</v>
      </c>
      <c r="F18" s="8" t="s">
        <v>3</v>
      </c>
      <c r="G18" s="1"/>
    </row>
    <row r="19" spans="1:7" x14ac:dyDescent="0.25">
      <c r="A19" s="1"/>
      <c r="B19" s="105" t="s">
        <v>24</v>
      </c>
      <c r="C19" s="106"/>
      <c r="D19" s="107"/>
      <c r="E19" s="9">
        <v>-425506.87928679702</v>
      </c>
      <c r="F19" s="8" t="s">
        <v>3</v>
      </c>
      <c r="G19" s="1"/>
    </row>
    <row r="20" spans="1:7" x14ac:dyDescent="0.25">
      <c r="A20" s="1"/>
      <c r="B20" s="108" t="s">
        <v>19</v>
      </c>
      <c r="C20" s="109"/>
      <c r="D20" s="110"/>
      <c r="E20" s="31">
        <f>SUM(E9:E19)</f>
        <v>26036882.969413552</v>
      </c>
      <c r="F20" s="34" t="s">
        <v>3</v>
      </c>
      <c r="G20" s="1"/>
    </row>
    <row r="21" spans="1:7" x14ac:dyDescent="0.25">
      <c r="A21" s="1"/>
      <c r="B21" s="71" t="s">
        <v>11</v>
      </c>
      <c r="C21" s="72"/>
      <c r="D21" s="72"/>
      <c r="E21" s="72"/>
      <c r="F21" s="19"/>
      <c r="G21" s="1"/>
    </row>
    <row r="22" spans="1:7" x14ac:dyDescent="0.25">
      <c r="A22" s="1"/>
      <c r="B22" s="116" t="s">
        <v>11</v>
      </c>
      <c r="C22" s="117"/>
      <c r="D22" s="118"/>
      <c r="E22" s="10">
        <v>14677720.535629252</v>
      </c>
      <c r="F22" s="11" t="s">
        <v>3</v>
      </c>
      <c r="G22" s="1"/>
    </row>
    <row r="23" spans="1:7" ht="15" customHeight="1" x14ac:dyDescent="0.25">
      <c r="A23" s="1"/>
      <c r="B23" s="114" t="s">
        <v>80</v>
      </c>
      <c r="C23" s="115"/>
      <c r="D23" s="115"/>
      <c r="E23" s="72"/>
      <c r="F23" s="72"/>
      <c r="G23" s="1"/>
    </row>
    <row r="24" spans="1:7" ht="14.25" customHeight="1" x14ac:dyDescent="0.25">
      <c r="A24" s="1"/>
      <c r="B24" s="102" t="s">
        <v>76</v>
      </c>
      <c r="C24" s="103"/>
      <c r="D24" s="104"/>
      <c r="E24" s="9">
        <v>0</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0</v>
      </c>
      <c r="F26" s="11" t="s">
        <v>3</v>
      </c>
      <c r="G26" s="1"/>
    </row>
    <row r="27" spans="1:7" x14ac:dyDescent="0.25">
      <c r="A27" s="1"/>
      <c r="B27" s="71" t="s">
        <v>128</v>
      </c>
      <c r="C27" s="72"/>
      <c r="D27" s="72"/>
      <c r="E27" s="72"/>
      <c r="F27" s="19"/>
      <c r="G27" s="1"/>
    </row>
    <row r="28" spans="1:7" ht="15" customHeight="1" x14ac:dyDescent="0.25">
      <c r="A28" s="1"/>
      <c r="B28" s="111" t="s">
        <v>129</v>
      </c>
      <c r="C28" s="112"/>
      <c r="D28" s="113"/>
      <c r="E28" s="10">
        <v>-1543510.0206118934</v>
      </c>
      <c r="F28" s="11" t="s">
        <v>3</v>
      </c>
      <c r="G28" s="1"/>
    </row>
    <row r="29" spans="1:7" x14ac:dyDescent="0.25">
      <c r="A29" s="1"/>
      <c r="B29" s="71" t="s">
        <v>159</v>
      </c>
      <c r="C29" s="72"/>
      <c r="D29" s="72"/>
      <c r="E29" s="72"/>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39171093.484430909</v>
      </c>
      <c r="F33" s="37"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3rcWI0V5INLAbtfWxoX+pB3jIbaAS5Kz8tPZ9ZAuBF4JOFYrdHfuPjM1uvLqOLt1SA9oLU7diu4nBQ1ixZlNQ==" saltValue="XFiLouHD0/F/aYKfFc/Ux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8">
        <v>12552103.323939804</v>
      </c>
      <c r="H5" s="14" t="s">
        <v>3</v>
      </c>
      <c r="I5" s="1"/>
    </row>
    <row r="6" spans="1:9" x14ac:dyDescent="0.25">
      <c r="A6" s="1"/>
      <c r="B6" s="126" t="s">
        <v>39</v>
      </c>
      <c r="C6" s="127"/>
      <c r="D6" s="127"/>
      <c r="E6" s="127"/>
      <c r="F6" s="128"/>
      <c r="G6" s="58">
        <f>G5*'Fane 13. Nøgletal'!C31</f>
        <v>251042.06647879607</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8">
        <f>(G5-G6)*(1+'Fane 13. Nøgletal'!C9)</f>
        <v>12457284.735430762</v>
      </c>
      <c r="H10" s="14" t="s">
        <v>3</v>
      </c>
      <c r="I10" s="1"/>
    </row>
    <row r="11" spans="1:9" x14ac:dyDescent="0.25">
      <c r="A11" s="1"/>
      <c r="B11" s="129" t="s">
        <v>41</v>
      </c>
      <c r="C11" s="130"/>
      <c r="D11" s="130"/>
      <c r="E11" s="130"/>
      <c r="F11" s="131"/>
      <c r="G11" s="58">
        <v>0</v>
      </c>
      <c r="H11" s="14" t="s">
        <v>3</v>
      </c>
      <c r="I11" s="1"/>
    </row>
    <row r="12" spans="1:9" x14ac:dyDescent="0.25">
      <c r="A12" s="1"/>
      <c r="B12" s="126" t="s">
        <v>42</v>
      </c>
      <c r="C12" s="127"/>
      <c r="D12" s="127"/>
      <c r="E12" s="127"/>
      <c r="F12" s="128"/>
      <c r="G12" s="58">
        <f>(G10+G11)*'Fane 13. Nøgletal'!C31</f>
        <v>249145.69470861525</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8">
        <f>(G10+G11-G12)*(1+'Fane 13. Nøgletal'!C11)</f>
        <v>12414456.59051035</v>
      </c>
      <c r="H16" s="14" t="s">
        <v>3</v>
      </c>
      <c r="I16" s="1"/>
    </row>
    <row r="17" spans="1:9" x14ac:dyDescent="0.25">
      <c r="A17" s="1"/>
      <c r="B17" s="126" t="s">
        <v>108</v>
      </c>
      <c r="C17" s="127"/>
      <c r="D17" s="127"/>
      <c r="E17" s="127"/>
      <c r="F17" s="128"/>
      <c r="G17" s="58">
        <v>0</v>
      </c>
      <c r="H17" s="14" t="s">
        <v>3</v>
      </c>
      <c r="I17" s="1"/>
    </row>
    <row r="18" spans="1:9" x14ac:dyDescent="0.25">
      <c r="A18" s="1"/>
      <c r="B18" s="129" t="s">
        <v>44</v>
      </c>
      <c r="C18" s="130"/>
      <c r="D18" s="130"/>
      <c r="E18" s="130"/>
      <c r="F18" s="131"/>
      <c r="G18" s="58">
        <v>0</v>
      </c>
      <c r="H18" s="14" t="s">
        <v>3</v>
      </c>
      <c r="I18" s="1"/>
    </row>
    <row r="19" spans="1:9" x14ac:dyDescent="0.25">
      <c r="A19" s="1"/>
      <c r="B19" s="126" t="s">
        <v>45</v>
      </c>
      <c r="C19" s="127"/>
      <c r="D19" s="127"/>
      <c r="E19" s="127"/>
      <c r="F19" s="128"/>
      <c r="G19" s="58">
        <f>SUM(G16:G18)*'Fane 13. Nøgletal'!C31</f>
        <v>248289.13181020701</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8">
        <f>(SUM(G16:G18)-G19)*(1+'Fane 13. Nøgletal'!C11)</f>
        <v>12371775.688752174</v>
      </c>
      <c r="H23" s="14" t="s">
        <v>3</v>
      </c>
      <c r="I23" s="1"/>
    </row>
    <row r="24" spans="1:9" x14ac:dyDescent="0.25">
      <c r="A24" s="1"/>
      <c r="B24" s="129" t="s">
        <v>47</v>
      </c>
      <c r="C24" s="130"/>
      <c r="D24" s="130"/>
      <c r="E24" s="130"/>
      <c r="F24" s="131"/>
      <c r="G24" s="58">
        <v>0</v>
      </c>
      <c r="H24" s="14" t="s">
        <v>3</v>
      </c>
      <c r="I24" s="1"/>
    </row>
    <row r="25" spans="1:9" x14ac:dyDescent="0.25">
      <c r="A25" s="1"/>
      <c r="B25" s="126" t="s">
        <v>48</v>
      </c>
      <c r="C25" s="127"/>
      <c r="D25" s="127"/>
      <c r="E25" s="127"/>
      <c r="F25" s="128"/>
      <c r="G25" s="58">
        <f>(G23+G24)*'Fane 13. Nøgletal'!C31</f>
        <v>247435.51377504348</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8">
        <f>(G23+G24-G25)*(1+'Fane 13. Nøgletal'!C13)</f>
        <v>12272257.125111852</v>
      </c>
      <c r="H29" s="14" t="s">
        <v>3</v>
      </c>
      <c r="I29" s="1"/>
    </row>
    <row r="30" spans="1:9" x14ac:dyDescent="0.25">
      <c r="A30" s="1"/>
      <c r="B30" s="126" t="s">
        <v>121</v>
      </c>
      <c r="C30" s="127"/>
      <c r="D30" s="127"/>
      <c r="E30" s="127"/>
      <c r="F30" s="128"/>
      <c r="G30" s="58">
        <v>390688.13551067997</v>
      </c>
      <c r="H30" s="14" t="s">
        <v>3</v>
      </c>
      <c r="I30" s="1"/>
    </row>
    <row r="31" spans="1:9" x14ac:dyDescent="0.25">
      <c r="A31" s="1"/>
      <c r="B31" s="126" t="s">
        <v>126</v>
      </c>
      <c r="C31" s="127"/>
      <c r="D31" s="127"/>
      <c r="E31" s="127"/>
      <c r="F31" s="128"/>
      <c r="G31" s="58">
        <f>(G29+G30)*'Fane 13. Nøgletal'!C31</f>
        <v>253258.90521245063</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8">
        <f>(G29+G30-G31)*(1+'Fane 13. Nøgletal'!C13)</f>
        <v>12561084.528946083</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15127.348454920002</v>
      </c>
      <c r="H36" s="14" t="s">
        <v>3</v>
      </c>
      <c r="I36" s="1"/>
    </row>
    <row r="37" spans="1:9" x14ac:dyDescent="0.25">
      <c r="A37" s="1"/>
      <c r="B37" s="126" t="s">
        <v>134</v>
      </c>
      <c r="C37" s="127"/>
      <c r="D37" s="127"/>
      <c r="E37" s="127"/>
      <c r="F37" s="128"/>
      <c r="G37" s="58">
        <f>(G35+G36)*'Fane 13. Nøgletal'!C31</f>
        <v>251524.23754802009</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8">
        <f>(G35+G36-G37)*(1+'Fane 13. Nøgletal'!C15)</f>
        <v>12763446.519831751</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10473.716237760002</v>
      </c>
      <c r="H42" s="14" t="s">
        <v>3</v>
      </c>
      <c r="I42" s="1"/>
    </row>
    <row r="43" spans="1:9" x14ac:dyDescent="0.25">
      <c r="A43" s="1"/>
      <c r="B43" s="126" t="s">
        <v>208</v>
      </c>
      <c r="C43" s="127"/>
      <c r="D43" s="127"/>
      <c r="E43" s="127"/>
      <c r="F43" s="128"/>
      <c r="G43" s="58">
        <f>(G41+G42)*'Fane 13. Nøgletal'!C31</f>
        <v>255478.40472139019</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8">
        <f>(G41+G42-G43)*(1+'Fane 13. Nøgletal'!C15)</f>
        <v>12964098.360544113</v>
      </c>
      <c r="H47" s="14" t="s">
        <v>3</v>
      </c>
      <c r="I47" s="1"/>
    </row>
    <row r="48" spans="1:9" x14ac:dyDescent="0.25">
      <c r="A48" s="1"/>
      <c r="B48" s="126" t="s">
        <v>209</v>
      </c>
      <c r="C48" s="127"/>
      <c r="D48" s="127"/>
      <c r="E48" s="127"/>
      <c r="F48" s="128"/>
      <c r="G48" s="58">
        <f>(G47)*'Fane 13. Nøgletal'!C31</f>
        <v>259281.96721088229</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8">
        <f>(G47-G48)*(1+'Fane 13. Nøgletal'!C15)</f>
        <v>13157107.856935896</v>
      </c>
      <c r="H52" s="14" t="s">
        <v>3</v>
      </c>
      <c r="I52" s="1"/>
    </row>
    <row r="53" spans="1:9" x14ac:dyDescent="0.25">
      <c r="A53" s="1"/>
      <c r="B53" s="126" t="s">
        <v>147</v>
      </c>
      <c r="C53" s="127"/>
      <c r="D53" s="127"/>
      <c r="E53" s="127"/>
      <c r="F53" s="128"/>
      <c r="G53" s="58">
        <f>(G52)*'Fane 13. Nøgletal'!C31</f>
        <v>263142.15713871794</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8">
        <f>(G52-G53)*(1+'Fane 13. Nøgletal'!C15)</f>
        <v>13352990.878709959</v>
      </c>
      <c r="H57" s="14" t="s">
        <v>3</v>
      </c>
      <c r="I57" s="1"/>
    </row>
    <row r="58" spans="1:9" x14ac:dyDescent="0.25">
      <c r="A58" s="1"/>
      <c r="B58" s="126" t="s">
        <v>176</v>
      </c>
      <c r="C58" s="127"/>
      <c r="D58" s="127"/>
      <c r="E58" s="127"/>
      <c r="F58" s="128"/>
      <c r="G58" s="58">
        <f>(G57)*'Fane 13. Nøgletal'!C31</f>
        <v>267059.81757419917</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8EMOSDLsR9EXuAHszlwhpPB+alXo44Rs4VvVFTovEDdKOk4+MvzQIKYoPi1t3QN36MJfI3Sco/WvoKJAUtjrQA==" saltValue="Ffkt4qHXcn+sDXdZM3GFlw=="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5.42578125" style="2" customWidth="1"/>
    <col min="7" max="7" width="10.28515625" style="2" customWidth="1"/>
    <col min="8" max="8" width="2.85546875" style="2" bestFit="1" customWidth="1"/>
    <col min="9" max="9" width="6"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8">
        <v>14568382.748357538</v>
      </c>
      <c r="H5" s="14" t="s">
        <v>3</v>
      </c>
      <c r="I5" s="1"/>
    </row>
    <row r="6" spans="1:9" x14ac:dyDescent="0.25">
      <c r="A6" s="1"/>
      <c r="B6" s="126" t="s">
        <v>54</v>
      </c>
      <c r="C6" s="127"/>
      <c r="D6" s="127"/>
      <c r="E6" s="127"/>
      <c r="F6" s="128"/>
      <c r="G6" s="58">
        <f>G5*'Fane 13. Nøgletal'!C20</f>
        <v>132572.28301005359</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8">
        <f>(G5-G6)*(1+'Fane 13. Nøgletal'!C9)</f>
        <v>14619145.258257397</v>
      </c>
      <c r="H10" s="14" t="s">
        <v>3</v>
      </c>
      <c r="I10" s="1"/>
    </row>
    <row r="11" spans="1:9" x14ac:dyDescent="0.25">
      <c r="A11" s="1"/>
      <c r="B11" s="129" t="s">
        <v>59</v>
      </c>
      <c r="C11" s="130"/>
      <c r="D11" s="130"/>
      <c r="E11" s="130"/>
      <c r="F11" s="131"/>
      <c r="G11" s="63">
        <v>0</v>
      </c>
      <c r="H11" s="14" t="s">
        <v>3</v>
      </c>
      <c r="I11" s="1"/>
    </row>
    <row r="12" spans="1:9" x14ac:dyDescent="0.25">
      <c r="A12" s="1"/>
      <c r="B12" s="126" t="s">
        <v>60</v>
      </c>
      <c r="C12" s="127"/>
      <c r="D12" s="127"/>
      <c r="E12" s="127"/>
      <c r="F12" s="128"/>
      <c r="G12" s="58">
        <f>G10*'Fane 13. Nøgletal'!C20+G11*'Fane 13. Nøgletal'!C21</f>
        <v>133034.22185014232</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8">
        <f>(G10+G11-G12)*(1+'Fane 13. Nøgletal'!C11)</f>
        <v>14730926.312922535</v>
      </c>
      <c r="H16" s="14" t="s">
        <v>3</v>
      </c>
      <c r="I16" s="1"/>
    </row>
    <row r="17" spans="1:9" x14ac:dyDescent="0.25">
      <c r="A17" s="1"/>
      <c r="B17" s="126" t="s">
        <v>109</v>
      </c>
      <c r="C17" s="127"/>
      <c r="D17" s="127"/>
      <c r="E17" s="127"/>
      <c r="F17" s="128"/>
      <c r="G17" s="58">
        <v>108215.91727957159</v>
      </c>
      <c r="H17" s="14" t="s">
        <v>3</v>
      </c>
      <c r="I17" s="1"/>
    </row>
    <row r="18" spans="1:9" x14ac:dyDescent="0.25">
      <c r="A18" s="1"/>
      <c r="B18" s="129" t="s">
        <v>63</v>
      </c>
      <c r="C18" s="130"/>
      <c r="D18" s="130"/>
      <c r="E18" s="130"/>
      <c r="F18" s="131"/>
      <c r="G18" s="58">
        <v>10679.002094469997</v>
      </c>
      <c r="H18" s="14" t="s">
        <v>3</v>
      </c>
      <c r="I18" s="1"/>
    </row>
    <row r="19" spans="1:9" x14ac:dyDescent="0.25">
      <c r="A19" s="1"/>
      <c r="B19" s="126" t="s">
        <v>64</v>
      </c>
      <c r="C19" s="127"/>
      <c r="D19" s="127"/>
      <c r="E19" s="127"/>
      <c r="F19" s="128"/>
      <c r="G19" s="58">
        <f>(G16+G17+G18)*'Fane 13. Nøgletal'!C22</f>
        <v>129193.4447209802</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8">
        <f>(SUM(G16:G18)-G19)*(1+'Fane 13. Nøgletal'!C11)</f>
        <v>14969406.397185624</v>
      </c>
      <c r="H23" s="14" t="s">
        <v>3</v>
      </c>
      <c r="I23" s="1"/>
    </row>
    <row r="24" spans="1:9" x14ac:dyDescent="0.25">
      <c r="A24" s="1"/>
      <c r="B24" s="129" t="s">
        <v>67</v>
      </c>
      <c r="C24" s="130"/>
      <c r="D24" s="130"/>
      <c r="E24" s="130"/>
      <c r="F24" s="131"/>
      <c r="G24" s="58">
        <v>22924.242679833002</v>
      </c>
      <c r="H24" s="14" t="s">
        <v>3</v>
      </c>
      <c r="I24" s="1"/>
    </row>
    <row r="25" spans="1:9" x14ac:dyDescent="0.25">
      <c r="A25" s="1"/>
      <c r="B25" s="126" t="s">
        <v>68</v>
      </c>
      <c r="C25" s="127"/>
      <c r="D25" s="127"/>
      <c r="E25" s="127"/>
      <c r="F25" s="128"/>
      <c r="G25" s="58">
        <f>G23*'Fane 13. Nøgletal'!C22+G24*'Fane 13. Nøgletal'!C23</f>
        <v>130884.88414762219</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8">
        <f>(G23+G24-G25)*(1+'Fane 13. Nøgletal'!C13)</f>
        <v>15042755.393937591</v>
      </c>
      <c r="H29" s="14" t="s">
        <v>3</v>
      </c>
      <c r="I29" s="1"/>
    </row>
    <row r="30" spans="1:9" x14ac:dyDescent="0.25">
      <c r="A30" s="1"/>
      <c r="B30" s="126" t="s">
        <v>123</v>
      </c>
      <c r="C30" s="127"/>
      <c r="D30" s="127"/>
      <c r="E30" s="127"/>
      <c r="F30" s="128"/>
      <c r="G30" s="58">
        <v>668523.24084420002</v>
      </c>
      <c r="H30" s="14" t="s">
        <v>3</v>
      </c>
      <c r="I30" s="1"/>
    </row>
    <row r="31" spans="1:9" x14ac:dyDescent="0.25">
      <c r="A31" s="1"/>
      <c r="B31" s="126" t="s">
        <v>131</v>
      </c>
      <c r="C31" s="127"/>
      <c r="D31" s="127"/>
      <c r="E31" s="127"/>
      <c r="F31" s="128"/>
      <c r="G31" s="58">
        <f>(G29+G30)*'Fane 13. Nøgletal'!C24</f>
        <v>432060.16245649924</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8">
        <f>(G29+G30-G31)*(1+'Fane 13. Nøgletal'!C13)</f>
        <v>15465624.93768766</v>
      </c>
      <c r="H35" s="14" t="s">
        <v>3</v>
      </c>
      <c r="I35" s="1"/>
    </row>
    <row r="36" spans="1:9" x14ac:dyDescent="0.25">
      <c r="A36" s="1"/>
      <c r="B36" s="126" t="s">
        <v>141</v>
      </c>
      <c r="C36" s="127"/>
      <c r="D36" s="127"/>
      <c r="E36" s="127"/>
      <c r="F36" s="128"/>
      <c r="G36" s="58">
        <f>SUM('Fane 3. Omkostninger i ØR2022'!E11)*(1+'Fane 13. Nøgletal'!C14)</f>
        <v>13661.722999080002</v>
      </c>
      <c r="H36" s="14" t="s">
        <v>3</v>
      </c>
      <c r="I36" s="1"/>
    </row>
    <row r="37" spans="1:9" x14ac:dyDescent="0.25">
      <c r="A37" s="1"/>
      <c r="B37" s="126" t="s">
        <v>136</v>
      </c>
      <c r="C37" s="127"/>
      <c r="D37" s="127"/>
      <c r="E37" s="127"/>
      <c r="F37" s="128"/>
      <c r="G37" s="58">
        <f>G35*'Fane 13. Nøgletal'!C24+G36*'Fane 13. Nøgletal'!C25</f>
        <v>425506.87928679702</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8">
        <f>(G35+G36-G37)*(1+'Fane 13. Nøgletal'!C15)</f>
        <v>15589694.34161778</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13776.915706560001</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8">
        <f>(G41+G42-G43)*(1+'Fane 13. Nøgletal'!C15)</f>
        <v>16158954.834085088</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8">
        <f>(G47-G48)*(1+'Fane 13. Nøgletal'!C15)</f>
        <v>16734213.626178518</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8">
        <f>(G52-G53)*(1+'Fane 13. Nøgletal'!C15)</f>
        <v>17329951.631270476</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sGQR/bvrbplxPSIjqhQ3gNIjhRfRGPEHuVeoXtwKpcDzYwNNp4+OnNmzdCQ5whG/ed2ZWi7WnWDq5iMHUjwJ/Q==" saltValue="bVzfkX3lKRcNd2S8q/DRS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1"/>
      <c r="H8" s="1"/>
    </row>
    <row r="9" spans="1:8" x14ac:dyDescent="0.25">
      <c r="A9" s="1"/>
      <c r="B9" s="76" t="s">
        <v>180</v>
      </c>
      <c r="C9" s="77"/>
      <c r="D9" s="77"/>
      <c r="E9" s="77"/>
      <c r="F9" s="78"/>
      <c r="G9" s="28">
        <v>0</v>
      </c>
      <c r="H9" s="1"/>
    </row>
    <row r="10" spans="1:8" x14ac:dyDescent="0.25">
      <c r="A10" s="1"/>
      <c r="B10" s="71"/>
      <c r="C10" s="72"/>
      <c r="D10" s="72"/>
      <c r="E10" s="72"/>
      <c r="F10" s="72"/>
      <c r="G10" s="19"/>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nosfPhrbY9sHd/KXS6HoGlyFRHhyAZOJnJ8RO3STkxlrni8myJxtNorQw3t1QYTbD03wuzgU5tlgHYqjhLgQig==" saltValue="uL5YYkId46SBNaCYvEOAq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2022-12-01T08:56:24Z</dcterms:modified>
</cp:coreProperties>
</file>