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Køge Vand AS (V116)\ØR2024\"/>
    </mc:Choice>
  </mc:AlternateContent>
  <xr:revisionPtr revIDLastSave="0" documentId="13_ncr:1_{8FFBEC6F-EC9D-49D9-98D5-F4A3F87AF35A}"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C34" i="2" l="1"/>
  <c r="E14" i="21" l="1"/>
  <c r="C17" i="22" l="1"/>
  <c r="C17" i="15"/>
  <c r="E23" i="41"/>
  <c r="E31" i="41" l="1"/>
  <c r="E33" i="41" s="1"/>
  <c r="E27" i="41"/>
  <c r="C29" i="2" s="1"/>
  <c r="C8" i="2"/>
  <c r="C13" i="29" l="1"/>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C13" i="21"/>
  <c r="C14" i="21" s="1"/>
  <c r="C11" i="2" l="1"/>
  <c r="C12" i="2"/>
  <c r="G48" i="36" l="1"/>
  <c r="C24" i="2"/>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5" i="2" s="1"/>
  <c r="C13" i="2"/>
  <c r="G48" i="30" l="1"/>
  <c r="C21" i="2"/>
  <c r="G43" i="30" l="1"/>
  <c r="G47" i="30" s="1"/>
  <c r="G49" i="30" l="1"/>
  <c r="C17" i="2" s="1"/>
  <c r="G37" i="36"/>
  <c r="G41" i="36" s="1"/>
  <c r="G53" i="30" l="1"/>
  <c r="G54" i="30" s="1"/>
  <c r="G43" i="36"/>
  <c r="G47" i="36" s="1"/>
  <c r="G58" i="30" l="1"/>
  <c r="G59" i="30" s="1"/>
  <c r="C11" i="15"/>
  <c r="G49" i="36"/>
  <c r="C18" i="2" s="1"/>
  <c r="G53" i="36" l="1"/>
  <c r="G54" i="36" s="1"/>
  <c r="G63" i="30"/>
  <c r="G64" i="30" s="1"/>
  <c r="C11" i="23" s="1"/>
  <c r="C11" i="22"/>
  <c r="C16" i="2"/>
  <c r="C19" i="2" s="1"/>
  <c r="G58" i="36" l="1"/>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<sst xmlns="http://schemas.openxmlformats.org/spreadsheetml/2006/main" count="550" uniqueCount="262">
  <si>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</si>
  <si>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</si>
  <si>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</si>
  <si>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</si>
  <si>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</si>
  <si>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</si>
  <si>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</si>
  <si>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</si>
  <si>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</si>
  <si>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</si>
  <si>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</si>
  <si>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</si>
  <si>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</si>
  <si>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</si>
  <si>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</si>
  <si>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</si>
  <si>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</si>
  <si>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</si>
  <si>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</si>
  <si>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</si>
  <si>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</si>
  <si>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</si>
  <si>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</si>
  <si>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</si>
  <si>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</si>
  <si>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</si>
  <si>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</si>
  <si>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</si>
  <si>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</si>
  <si>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</si>
  <si>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</si>
  <si>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</si>
  <si>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</si>
  <si>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</si>
  <si>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</si>
  <si>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</si>
  <si>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</si>
  <si>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</si>
  <si>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</si>
  <si>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</si>
  <si>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</si>
  <si>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</si>
  <si>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</si>
  <si>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</si>
  <si>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</si>
  <si>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</si>
  <si>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</si>
  <si>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</si>
  <si>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</si>
  <si>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</si>
  <si>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</si>
  <si>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</si>
  <si>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</si>
  <si>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</si>
  <si>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</si>
  <si>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</si>
  <si>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</si>
  <si>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</si>
  <si>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</si>
  <si>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</si>
  <si>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</si>
  <si>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</si>
  <si>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</si>
  <si>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</si>
  <si>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</si>
  <si>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</si>
  <si>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</si>
  <si>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</si>
  <si>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</si>
  <si>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</si>
  <si>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</si>
  <si>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</si>
  <si>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</si>
  <si>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</si>
  <si>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</si>
  <si>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</si>
  <si>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</si>
  <si>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</si>
  <si>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</si>
  <si>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</si>
  <si>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</si>
  <si>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</si>
  <si>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</si>
  <si>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</si>
  <si>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</si>
  <si>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</si>
  <si>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</si>
  <si>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</si>
  <si>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</si>
  <si>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</si>
  <si>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</si>
  <si>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</si>
  <si>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</si>
  <si>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</si>
  <si>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</si>
  <si>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</si>
  <si>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</si>
  <si>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</si>
  <si>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</si>
  <si>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</si>
  <si>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</si>
  <si>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</si>
  <si>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</si>
  <si>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</si>
  <si>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</si>
  <si>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</si>
  <si>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</si>
  <si>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</si>
  <si>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</si>
  <si>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</si>
  <si>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</si>
  <si>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</si>
  <si>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</si>
  <si>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</si>
  <si>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</si>
  <si>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</si>
  <si>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</si>
  <si>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</si>
  <si>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</si>
  <si>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</si>
  <si>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</si>
  <si>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</si>
  <si>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</si>
  <si>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</si>
  <si>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</si>
  <si>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</si>
  <si>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</si>
  <si>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</si>
  <si>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</si>
  <si>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</si>
  <si>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</si>
  <si>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</si>
  <si>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</si>
  <si>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</si>
  <si>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</si>
  <si>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</si>
  <si>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</si>
  <si>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</si>
  <si>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</si>
  <si>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</si>
  <si>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</si>
  <si>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</si>
  <si>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</si>
  <si>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</si>
  <si>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</si>
  <si>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</si>
  <si>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</si>
  <si>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</si>
  <si>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</si>
  <si>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</si>
  <si>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</si>
  <si>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</si>
  <si>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</si>
  <si>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</si>
  <si>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</si>
  <si>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</si>
  <si>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</si>
  <si>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</si>
  <si>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</si>
  <si>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</si>
  <si>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</si>
  <si>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</si>
  <si>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</si>
  <si>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</si>
  <si>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</si>
  <si>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</si>
  <si>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</si>
  <si>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</si>
  <si>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</si>
  <si>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</si>
  <si>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</si>
  <si>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</si>
  <si>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</si>
  <si>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</si>
  <si>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</si>
  <si>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</si>
  <si>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</si>
  <si>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</si>
  <si>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</si>
  <si>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</si>
  <si>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</si>
  <si>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</si>
  <si>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</si>
  <si>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</si>
  <si>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</si>
  <si>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</si>
  <si>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</si>
  <si>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</si>
  <si>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</si>
  <si>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</si>
  <si>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</si>
  <si>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</si>
  <si>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</si>
  <si>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</si>
  <si>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</si>
  <si>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</si>
  <si>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</si>
  <si>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</si>
  <si>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</si>
  <si>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</si>
  <si>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</si>
  <si>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</si>
  <si>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</si>
  <si>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</si>
  <si>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</si>
  <si>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</si>
  <si>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</si>
  <si>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</si>
  <si>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</si>
  <si>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</si>
  <si>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</si>
  <si>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</si>
  <si>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</si>
  <si>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</si>
  <si>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</si>
  <si>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</si>
  <si>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</si>
  <si>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</si>
  <si>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</si>
  <si>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</si>
  <si>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</si>
  <si>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</si>
  <si>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</si>
  <si>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</si>
  <si>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</si>
  <si>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</si>
  <si>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</si>
  <si>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</si>
  <si>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</si>
  <si>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</si>
  <si>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</si>
  <si>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</si>
  <si>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</si>
  <si>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</si>
  <si>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</si>
  <si>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</si>
  <si>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</si>
  <si>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</si>
  <si>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</si>
  <si>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</si>
  <si>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</si>
  <si>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</si>
  <si>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</si>
  <si>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Sektionering 2017-2021</t>
  </si>
  <si>
    <t>Afgift for ledningsført vand</t>
  </si>
  <si>
    <t>Afgift til Forsyningssekretariatet</t>
  </si>
  <si>
    <t>Ejendomsskat</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</si>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</sst>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7">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C5">
            <v>1.0168999999999999</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9" t="s">
        <v>4</v>
      </c>
      <c r="E6" s="79"/>
      <c r="F6" s="79"/>
      <c r="G6" s="79"/>
      <c r="H6" s="3"/>
      <c r="I6" s="1"/>
    </row>
    <row r="7" spans="1:9" ht="15" customHeight="1" x14ac:dyDescent="0.25">
      <c r="A7" s="1"/>
      <c r="B7" s="1"/>
      <c r="C7" s="3"/>
      <c r="D7" s="79"/>
      <c r="E7" s="79"/>
      <c r="F7" s="79"/>
      <c r="G7" s="79"/>
      <c r="H7" s="3"/>
      <c r="I7" s="1"/>
    </row>
    <row r="8" spans="1:9" ht="15.75" x14ac:dyDescent="0.25">
      <c r="A8" s="1"/>
      <c r="B8" s="1"/>
      <c r="C8" s="4"/>
      <c r="D8" s="84" t="s">
        <v>235</v>
      </c>
      <c r="E8" s="84"/>
      <c r="F8" s="84"/>
      <c r="G8" s="84"/>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3" t="s">
        <v>5</v>
      </c>
      <c r="E11" s="83"/>
      <c r="F11" s="83"/>
      <c r="G11" s="83"/>
      <c r="H11" s="5"/>
      <c r="I11" s="1"/>
    </row>
    <row r="12" spans="1:9" x14ac:dyDescent="0.25">
      <c r="A12" s="1"/>
      <c r="B12" s="1"/>
      <c r="C12" s="1"/>
      <c r="D12" s="1"/>
      <c r="E12" s="1"/>
      <c r="F12" s="1"/>
      <c r="G12" s="1"/>
      <c r="H12" s="1"/>
      <c r="I12" s="1"/>
    </row>
    <row r="13" spans="1:9" x14ac:dyDescent="0.25">
      <c r="A13" s="1"/>
      <c r="B13" s="1"/>
      <c r="C13" s="6" t="s">
        <v>6</v>
      </c>
      <c r="D13" s="76" t="s">
        <v>162</v>
      </c>
      <c r="E13" s="77"/>
      <c r="F13" s="77"/>
      <c r="G13" s="78"/>
      <c r="H13" s="1"/>
      <c r="I13" s="1"/>
    </row>
    <row r="14" spans="1:9" x14ac:dyDescent="0.25">
      <c r="A14" s="1"/>
      <c r="B14" s="1"/>
      <c r="C14" s="6" t="s">
        <v>14</v>
      </c>
      <c r="D14" s="76" t="s">
        <v>197</v>
      </c>
      <c r="E14" s="77"/>
      <c r="F14" s="77"/>
      <c r="G14" s="78"/>
      <c r="H14" s="1"/>
      <c r="I14" s="1"/>
    </row>
    <row r="15" spans="1:9" x14ac:dyDescent="0.25">
      <c r="A15" s="1"/>
      <c r="B15" s="1"/>
      <c r="C15" s="6" t="s">
        <v>30</v>
      </c>
      <c r="D15" s="76" t="s">
        <v>141</v>
      </c>
      <c r="E15" s="77"/>
      <c r="F15" s="77"/>
      <c r="G15" s="78"/>
      <c r="H15" s="1"/>
      <c r="I15" s="1"/>
    </row>
    <row r="16" spans="1:9" x14ac:dyDescent="0.25">
      <c r="A16" s="1"/>
      <c r="B16" s="1"/>
      <c r="C16" s="6" t="s">
        <v>31</v>
      </c>
      <c r="D16" s="76" t="s">
        <v>194</v>
      </c>
      <c r="E16" s="77"/>
      <c r="F16" s="77"/>
      <c r="G16" s="78"/>
      <c r="H16" s="1"/>
      <c r="I16" s="1"/>
    </row>
    <row r="17" spans="1:9" x14ac:dyDescent="0.25">
      <c r="A17" s="1"/>
      <c r="B17" s="1"/>
      <c r="C17" s="6" t="s">
        <v>102</v>
      </c>
      <c r="D17" s="76" t="s">
        <v>195</v>
      </c>
      <c r="E17" s="77"/>
      <c r="F17" s="77"/>
      <c r="G17" s="78"/>
      <c r="H17" s="1"/>
      <c r="I17" s="1"/>
    </row>
    <row r="18" spans="1:9" x14ac:dyDescent="0.25">
      <c r="A18" s="1"/>
      <c r="B18" s="1"/>
      <c r="C18" s="6" t="s">
        <v>86</v>
      </c>
      <c r="D18" s="85" t="s">
        <v>79</v>
      </c>
      <c r="E18" s="86"/>
      <c r="F18" s="86"/>
      <c r="G18" s="87"/>
      <c r="H18" s="1"/>
      <c r="I18" s="1"/>
    </row>
    <row r="19" spans="1:9" x14ac:dyDescent="0.25">
      <c r="A19" s="1"/>
      <c r="B19" s="1"/>
      <c r="C19" s="6" t="s">
        <v>87</v>
      </c>
      <c r="D19" s="85" t="s">
        <v>80</v>
      </c>
      <c r="E19" s="86"/>
      <c r="F19" s="86"/>
      <c r="G19" s="87"/>
      <c r="H19" s="1"/>
      <c r="I19" s="1"/>
    </row>
    <row r="20" spans="1:9" x14ac:dyDescent="0.25">
      <c r="A20" s="1"/>
      <c r="B20" s="1"/>
      <c r="C20" s="6" t="s">
        <v>7</v>
      </c>
      <c r="D20" s="85" t="s">
        <v>9</v>
      </c>
      <c r="E20" s="86"/>
      <c r="F20" s="86"/>
      <c r="G20" s="87"/>
      <c r="H20" s="1"/>
      <c r="I20" s="1"/>
    </row>
    <row r="21" spans="1:9" x14ac:dyDescent="0.25">
      <c r="A21" s="1"/>
      <c r="B21" s="1"/>
      <c r="C21" s="6" t="s">
        <v>88</v>
      </c>
      <c r="D21" s="91" t="s">
        <v>11</v>
      </c>
      <c r="E21" s="92"/>
      <c r="F21" s="92"/>
      <c r="G21" s="93"/>
      <c r="H21" s="1"/>
      <c r="I21" s="1"/>
    </row>
    <row r="22" spans="1:9" x14ac:dyDescent="0.25">
      <c r="A22" s="1"/>
      <c r="B22" s="1"/>
      <c r="C22" s="6" t="s">
        <v>73</v>
      </c>
      <c r="D22" s="80" t="s">
        <v>196</v>
      </c>
      <c r="E22" s="81"/>
      <c r="F22" s="81"/>
      <c r="G22" s="82"/>
      <c r="H22" s="1"/>
      <c r="I22" s="1"/>
    </row>
    <row r="23" spans="1:9" x14ac:dyDescent="0.25">
      <c r="A23" s="1"/>
      <c r="B23" s="1"/>
      <c r="C23" s="6" t="s">
        <v>8</v>
      </c>
      <c r="D23" s="80" t="s">
        <v>176</v>
      </c>
      <c r="E23" s="81"/>
      <c r="F23" s="81"/>
      <c r="G23" s="82"/>
      <c r="H23" s="1"/>
      <c r="I23" s="1"/>
    </row>
    <row r="24" spans="1:9" x14ac:dyDescent="0.25">
      <c r="A24" s="1"/>
      <c r="B24" s="1"/>
      <c r="C24" s="6" t="s">
        <v>172</v>
      </c>
      <c r="D24" s="80" t="s">
        <v>163</v>
      </c>
      <c r="E24" s="81"/>
      <c r="F24" s="81"/>
      <c r="G24" s="82"/>
      <c r="H24" s="1"/>
      <c r="I24" s="1"/>
    </row>
    <row r="25" spans="1:9" x14ac:dyDescent="0.25">
      <c r="A25" s="1"/>
      <c r="B25" s="1"/>
      <c r="C25" s="6" t="s">
        <v>173</v>
      </c>
      <c r="D25" s="80" t="s">
        <v>74</v>
      </c>
      <c r="E25" s="81"/>
      <c r="F25" s="81"/>
      <c r="G25" s="82"/>
      <c r="H25" s="1"/>
      <c r="I25" s="1"/>
    </row>
    <row r="26" spans="1:9" x14ac:dyDescent="0.25">
      <c r="A26" s="1"/>
      <c r="B26" s="1"/>
      <c r="C26" s="6" t="s">
        <v>174</v>
      </c>
      <c r="D26" s="80" t="s">
        <v>75</v>
      </c>
      <c r="E26" s="81"/>
      <c r="F26" s="81"/>
      <c r="G26" s="82"/>
      <c r="H26" s="1"/>
      <c r="I26" s="1"/>
    </row>
    <row r="27" spans="1:9" x14ac:dyDescent="0.25">
      <c r="A27" s="1"/>
      <c r="B27" s="1"/>
      <c r="C27" s="6" t="s">
        <v>89</v>
      </c>
      <c r="D27" s="80" t="s">
        <v>103</v>
      </c>
      <c r="E27" s="81"/>
      <c r="F27" s="81"/>
      <c r="G27" s="82"/>
      <c r="H27" s="1"/>
      <c r="I27" s="1"/>
    </row>
    <row r="28" spans="1:9" x14ac:dyDescent="0.25">
      <c r="A28" s="1"/>
      <c r="B28" s="1"/>
      <c r="C28" s="6" t="s">
        <v>83</v>
      </c>
      <c r="D28" s="80" t="s">
        <v>32</v>
      </c>
      <c r="E28" s="81"/>
      <c r="F28" s="81"/>
      <c r="G28" s="82"/>
      <c r="H28" s="1"/>
      <c r="I28" s="1"/>
    </row>
    <row r="29" spans="1:9" x14ac:dyDescent="0.25">
      <c r="A29" s="1"/>
      <c r="B29" s="1"/>
      <c r="C29" s="6" t="s">
        <v>175</v>
      </c>
      <c r="D29" s="88" t="s">
        <v>84</v>
      </c>
      <c r="E29" s="89"/>
      <c r="F29" s="89"/>
      <c r="G29" s="90"/>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wdeIvgUfcqmLBY91bBKz9sKNS2O1Lzx8YfaOVJRRywI6akAv5k3fOr0iPzSK/pre3l5AWDKbVvznutv9VTha+w==" saltValue="Xhb8hgyYZoYBegjGTrDAxw=="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4" t="s">
        <v>92</v>
      </c>
      <c r="C3" s="94"/>
      <c r="D3" s="94"/>
      <c r="E3" s="1"/>
      <c r="F3" s="1"/>
    </row>
    <row r="4" spans="1:6" ht="15" customHeight="1" x14ac:dyDescent="0.25">
      <c r="A4" s="1"/>
      <c r="B4" s="94"/>
      <c r="C4" s="94"/>
      <c r="D4" s="9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4" t="s">
        <v>226</v>
      </c>
      <c r="C8" s="105"/>
      <c r="D8" s="106"/>
      <c r="E8" s="1"/>
      <c r="F8" s="1"/>
    </row>
    <row r="9" spans="1:6" ht="15" customHeight="1" x14ac:dyDescent="0.25">
      <c r="A9" s="1"/>
      <c r="B9" s="32" t="s">
        <v>28</v>
      </c>
      <c r="C9" s="11" t="s">
        <v>212</v>
      </c>
      <c r="D9" s="11"/>
      <c r="E9" s="1"/>
      <c r="F9" s="1"/>
    </row>
    <row r="10" spans="1:6" ht="15" customHeight="1" x14ac:dyDescent="0.25">
      <c r="A10" s="1"/>
      <c r="B10" s="68" t="s">
        <v>244</v>
      </c>
      <c r="C10" s="9">
        <v>10265148</v>
      </c>
      <c r="D10" s="14" t="s">
        <v>3</v>
      </c>
      <c r="E10" s="1"/>
      <c r="F10" s="1"/>
    </row>
    <row r="11" spans="1:6" x14ac:dyDescent="0.25">
      <c r="A11" s="1"/>
      <c r="B11" s="68" t="s">
        <v>245</v>
      </c>
      <c r="C11" s="9">
        <v>89268</v>
      </c>
      <c r="D11" s="14" t="s">
        <v>3</v>
      </c>
      <c r="E11" s="1"/>
      <c r="F11" s="1"/>
    </row>
    <row r="12" spans="1:6" x14ac:dyDescent="0.25">
      <c r="A12" s="1"/>
      <c r="B12" s="68" t="s">
        <v>246</v>
      </c>
      <c r="C12" s="9">
        <v>18917</v>
      </c>
      <c r="D12" s="14" t="s">
        <v>3</v>
      </c>
      <c r="E12" s="1"/>
      <c r="F12" s="1"/>
    </row>
    <row r="13" spans="1:6" x14ac:dyDescent="0.25">
      <c r="A13" s="1"/>
      <c r="B13" s="68"/>
      <c r="C13" s="9"/>
      <c r="D13" s="14" t="s">
        <v>3</v>
      </c>
      <c r="E13" s="1"/>
      <c r="F13" s="1"/>
    </row>
    <row r="14" spans="1:6" x14ac:dyDescent="0.25">
      <c r="A14" s="1"/>
      <c r="B14" s="68"/>
      <c r="C14" s="9"/>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2" t="s">
        <v>213</v>
      </c>
      <c r="C19" s="12">
        <f>SUM(C10:C18)</f>
        <v>10373333</v>
      </c>
      <c r="D19" s="13" t="s">
        <v>3</v>
      </c>
      <c r="E19" s="1"/>
      <c r="F19" s="1"/>
    </row>
    <row r="20" spans="1:6" x14ac:dyDescent="0.25">
      <c r="A20" s="1"/>
      <c r="B20" s="52" t="s">
        <v>214</v>
      </c>
      <c r="C20" s="12">
        <f>C19*(1+'Fane 13. Nøgletal'!C16)^2</f>
        <v>12117387.36955712</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QLIqG+EiFV2yJqzYYFXDMfajI6bu+nBBPXMR30J7rCHuc4xh3BvE5saxSmJZ2PIstnayGkIMi5xDocRvG0pyyQ==" saltValue="Nqa5C5l2F2HbugH59SWwV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45"/>
  <sheetViews>
    <sheetView showGridLines="0" view="pageLayout" zoomScale="86" zoomScaleNormal="100" zoomScalePageLayoutView="86"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7" t="s">
        <v>227</v>
      </c>
      <c r="C3" s="97"/>
      <c r="D3" s="97"/>
      <c r="E3" s="97"/>
      <c r="F3" s="97"/>
      <c r="G3" s="1"/>
    </row>
    <row r="4" spans="1:7" ht="15" customHeight="1" x14ac:dyDescent="0.25">
      <c r="A4" s="1"/>
      <c r="B4" s="97"/>
      <c r="C4" s="97"/>
      <c r="D4" s="97"/>
      <c r="E4" s="97"/>
      <c r="F4" s="97"/>
      <c r="G4" s="1"/>
    </row>
    <row r="5" spans="1:7" ht="15" customHeight="1" x14ac:dyDescent="0.25">
      <c r="A5" s="1"/>
      <c r="B5" s="61"/>
      <c r="C5" s="61"/>
      <c r="D5" s="61"/>
      <c r="E5" s="61"/>
      <c r="F5" s="61"/>
      <c r="G5" s="1"/>
    </row>
    <row r="6" spans="1:7" ht="15" customHeight="1" x14ac:dyDescent="0.25">
      <c r="A6" s="1"/>
      <c r="B6" s="61"/>
      <c r="C6" s="61"/>
      <c r="D6" s="61"/>
      <c r="E6" s="61"/>
      <c r="F6" s="61"/>
      <c r="G6" s="1"/>
    </row>
    <row r="7" spans="1:7" x14ac:dyDescent="0.25">
      <c r="A7" s="1"/>
      <c r="B7" s="1"/>
      <c r="C7" s="1"/>
      <c r="D7" s="1"/>
      <c r="E7" s="1"/>
      <c r="F7" s="1"/>
      <c r="G7" s="1"/>
    </row>
    <row r="8" spans="1:7" x14ac:dyDescent="0.25">
      <c r="A8" s="1"/>
      <c r="B8" s="104" t="s">
        <v>247</v>
      </c>
      <c r="C8" s="105"/>
      <c r="D8" s="105"/>
      <c r="E8" s="105"/>
      <c r="F8" s="106"/>
      <c r="G8" s="1"/>
    </row>
    <row r="9" spans="1:7" x14ac:dyDescent="0.25">
      <c r="A9" s="1"/>
      <c r="B9" s="98" t="s">
        <v>248</v>
      </c>
      <c r="C9" s="99"/>
      <c r="D9" s="100"/>
      <c r="E9" s="28">
        <v>91618.34603036195</v>
      </c>
      <c r="F9" s="14" t="s">
        <v>3</v>
      </c>
      <c r="G9" s="1"/>
    </row>
    <row r="10" spans="1:7" x14ac:dyDescent="0.25">
      <c r="A10" s="1"/>
      <c r="B10" s="52"/>
      <c r="C10" s="53"/>
      <c r="D10" s="53"/>
      <c r="E10" s="53"/>
      <c r="F10" s="19"/>
      <c r="G10" s="1"/>
    </row>
    <row r="11" spans="1:7" ht="57" customHeight="1" x14ac:dyDescent="0.25">
      <c r="A11" s="1"/>
      <c r="B11" s="120" t="s">
        <v>249</v>
      </c>
      <c r="C11" s="121"/>
      <c r="D11" s="121"/>
      <c r="E11" s="121"/>
      <c r="F11" s="122"/>
      <c r="G11" s="1"/>
    </row>
    <row r="12" spans="1:7" x14ac:dyDescent="0.25">
      <c r="A12" s="1"/>
      <c r="B12" s="1"/>
      <c r="C12" s="1"/>
      <c r="D12" s="1"/>
      <c r="E12" s="1"/>
      <c r="F12" s="1"/>
      <c r="G12" s="1"/>
    </row>
    <row r="13" spans="1:7" x14ac:dyDescent="0.25">
      <c r="A13" s="1"/>
      <c r="B13" s="104" t="s">
        <v>140</v>
      </c>
      <c r="C13" s="105"/>
      <c r="D13" s="105"/>
      <c r="E13" s="105"/>
      <c r="F13" s="106"/>
      <c r="G13" s="1"/>
    </row>
    <row r="14" spans="1:7" x14ac:dyDescent="0.25">
      <c r="A14" s="1"/>
      <c r="B14" s="98" t="s">
        <v>250</v>
      </c>
      <c r="C14" s="99"/>
      <c r="D14" s="100"/>
      <c r="E14" s="9">
        <v>0</v>
      </c>
      <c r="F14" s="14" t="s">
        <v>3</v>
      </c>
      <c r="G14" s="1"/>
    </row>
    <row r="15" spans="1:7" x14ac:dyDescent="0.25">
      <c r="A15" s="1"/>
      <c r="B15" s="98" t="s">
        <v>251</v>
      </c>
      <c r="C15" s="99"/>
      <c r="D15" s="100"/>
      <c r="E15" s="9">
        <v>0</v>
      </c>
      <c r="F15" s="14" t="s">
        <v>3</v>
      </c>
      <c r="G15" s="1"/>
    </row>
    <row r="16" spans="1:7" x14ac:dyDescent="0.25">
      <c r="A16" s="1"/>
      <c r="B16" s="52"/>
      <c r="C16" s="53"/>
      <c r="D16" s="53"/>
      <c r="E16" s="53"/>
      <c r="F16" s="19"/>
      <c r="G16" s="1"/>
    </row>
    <row r="17" spans="1:7" ht="30" customHeight="1" x14ac:dyDescent="0.25">
      <c r="A17" s="1"/>
      <c r="B17" s="120" t="s">
        <v>252</v>
      </c>
      <c r="C17" s="121"/>
      <c r="D17" s="121"/>
      <c r="E17" s="121"/>
      <c r="F17" s="122"/>
      <c r="G17" s="1"/>
    </row>
    <row r="18" spans="1:7" x14ac:dyDescent="0.25">
      <c r="A18" s="1"/>
      <c r="B18" s="1"/>
      <c r="C18" s="1"/>
      <c r="D18" s="1"/>
      <c r="E18" s="1"/>
      <c r="F18" s="1"/>
      <c r="G18" s="1"/>
    </row>
    <row r="19" spans="1:7" x14ac:dyDescent="0.25">
      <c r="A19" s="1"/>
      <c r="B19" s="62" t="s">
        <v>253</v>
      </c>
      <c r="C19" s="63"/>
      <c r="D19" s="63"/>
      <c r="E19" s="63"/>
      <c r="F19" s="64"/>
      <c r="G19" s="1"/>
    </row>
    <row r="20" spans="1:7" x14ac:dyDescent="0.25">
      <c r="A20" s="1"/>
      <c r="B20" s="65" t="s">
        <v>254</v>
      </c>
      <c r="C20" s="66"/>
      <c r="D20" s="67"/>
      <c r="E20" s="9">
        <v>30726808.714620609</v>
      </c>
      <c r="F20" s="14" t="s">
        <v>3</v>
      </c>
      <c r="G20" s="1"/>
    </row>
    <row r="21" spans="1:7" x14ac:dyDescent="0.25">
      <c r="A21" s="1"/>
      <c r="B21" s="65" t="s">
        <v>255</v>
      </c>
      <c r="C21" s="66"/>
      <c r="D21" s="67"/>
      <c r="E21" s="9">
        <v>31796090</v>
      </c>
      <c r="F21" s="14" t="s">
        <v>3</v>
      </c>
      <c r="G21" s="1"/>
    </row>
    <row r="22" spans="1:7" x14ac:dyDescent="0.25">
      <c r="A22" s="1"/>
      <c r="B22" s="65" t="s">
        <v>29</v>
      </c>
      <c r="C22" s="66"/>
      <c r="D22" s="67"/>
      <c r="E22" s="9">
        <v>0</v>
      </c>
      <c r="F22" s="14" t="s">
        <v>3</v>
      </c>
      <c r="G22" s="1"/>
    </row>
    <row r="23" spans="1:7" x14ac:dyDescent="0.25">
      <c r="A23" s="1"/>
      <c r="B23" s="70" t="s">
        <v>256</v>
      </c>
      <c r="C23" s="71"/>
      <c r="D23" s="72"/>
      <c r="E23" s="10">
        <f>E20-(E21-E22)</f>
        <v>-1069281.2853793912</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4" t="s">
        <v>257</v>
      </c>
      <c r="C26" s="105"/>
      <c r="D26" s="105"/>
      <c r="E26" s="105"/>
      <c r="F26" s="106"/>
      <c r="G26" s="1"/>
    </row>
    <row r="27" spans="1:7" x14ac:dyDescent="0.25">
      <c r="A27" s="1"/>
      <c r="B27" s="123" t="s">
        <v>258</v>
      </c>
      <c r="C27" s="124"/>
      <c r="D27" s="125"/>
      <c r="E27" s="59">
        <f>IF(AND(E15&lt;0,E23&gt;0,ABS(SUM(E14:E15))&lt;E23),ABS(E14),IF(AND(E15&lt;0,E23&gt;0,ABS(SUM(E14:E15))&gt;E23),SUM(E14,E23),0))</f>
        <v>0</v>
      </c>
      <c r="F27" s="17" t="s">
        <v>3</v>
      </c>
      <c r="G27" s="1"/>
    </row>
    <row r="28" spans="1:7" x14ac:dyDescent="0.25">
      <c r="A28" s="1"/>
      <c r="B28" s="104"/>
      <c r="C28" s="105"/>
      <c r="D28" s="105"/>
      <c r="E28" s="105"/>
      <c r="F28" s="106"/>
      <c r="G28" s="1"/>
    </row>
    <row r="29" spans="1:7" x14ac:dyDescent="0.25">
      <c r="A29" s="1"/>
      <c r="B29" s="1"/>
      <c r="C29" s="1"/>
      <c r="D29" s="1"/>
      <c r="E29" s="1"/>
      <c r="F29" s="1"/>
      <c r="G29" s="1"/>
    </row>
    <row r="30" spans="1:7" x14ac:dyDescent="0.25">
      <c r="A30" s="1"/>
      <c r="B30" s="104" t="s">
        <v>259</v>
      </c>
      <c r="C30" s="105"/>
      <c r="D30" s="105"/>
      <c r="E30" s="105"/>
      <c r="F30" s="106"/>
      <c r="G30" s="1"/>
    </row>
    <row r="31" spans="1:7" x14ac:dyDescent="0.25">
      <c r="A31" s="1"/>
      <c r="B31" s="126" t="s">
        <v>117</v>
      </c>
      <c r="C31" s="127"/>
      <c r="D31" s="128"/>
      <c r="E31" s="60">
        <f>IF(AND(E9&gt;0,(E9+E23)&gt;0),0,IF(AND(E9&gt;0,(E9+E23)&lt;0),(E9+E23),IF(AND(E9&lt;0,E23&lt;0),E23,0)))</f>
        <v>-977662.93934902921</v>
      </c>
      <c r="F31" s="14" t="s">
        <v>3</v>
      </c>
      <c r="G31" s="1"/>
    </row>
    <row r="32" spans="1:7" x14ac:dyDescent="0.25">
      <c r="A32" s="1"/>
      <c r="B32" s="126" t="s">
        <v>85</v>
      </c>
      <c r="C32" s="127"/>
      <c r="D32" s="128"/>
      <c r="E32" s="9">
        <v>2</v>
      </c>
      <c r="F32" s="14" t="s">
        <v>18</v>
      </c>
      <c r="G32" s="1"/>
    </row>
    <row r="33" spans="1:7" x14ac:dyDescent="0.25">
      <c r="A33" s="1"/>
      <c r="B33" s="116" t="s">
        <v>116</v>
      </c>
      <c r="C33" s="116"/>
      <c r="D33" s="116"/>
      <c r="E33" s="59">
        <f>E31/E32</f>
        <v>-488831.46967451461</v>
      </c>
      <c r="F33" s="17" t="s">
        <v>3</v>
      </c>
      <c r="G33" s="1"/>
    </row>
    <row r="34" spans="1:7" x14ac:dyDescent="0.25">
      <c r="A34" s="1"/>
      <c r="B34" s="117"/>
      <c r="C34" s="118"/>
      <c r="D34" s="118"/>
      <c r="E34" s="118"/>
      <c r="F34" s="119"/>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zcF+iyYBMUqelxeI3xo8o18hNB/QxVuuXSbLbjjx6Bs32XLb73cPDaE9lQo6wmChHB8cwUFC+Sf+Qcv/eyovqw==" saltValue="upmjyY6kUT1ybJ9C3MWk5g==" spinCount="100000" sheet="1" objects="1" scenarios="1"/>
  <mergeCells count="16">
    <mergeCell ref="B13:F13"/>
    <mergeCell ref="B3:F4"/>
    <mergeCell ref="B8:F8"/>
    <mergeCell ref="B9:D9"/>
    <mergeCell ref="B11:F11"/>
    <mergeCell ref="B33:D33"/>
    <mergeCell ref="B34:F34"/>
    <mergeCell ref="B14:D14"/>
    <mergeCell ref="B15:D15"/>
    <mergeCell ref="B17:F17"/>
    <mergeCell ref="B26:F26"/>
    <mergeCell ref="B27:D27"/>
    <mergeCell ref="B31:D31"/>
    <mergeCell ref="B28:F28"/>
    <mergeCell ref="B30:F30"/>
    <mergeCell ref="B32:D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4" t="s">
        <v>183</v>
      </c>
      <c r="C3" s="94"/>
      <c r="D3" s="94"/>
      <c r="E3" s="94"/>
      <c r="F3" s="94"/>
      <c r="G3" s="94"/>
      <c r="H3" s="94"/>
      <c r="I3" s="1"/>
    </row>
    <row r="4" spans="1:9" ht="15" customHeight="1" x14ac:dyDescent="0.25">
      <c r="A4" s="1"/>
      <c r="B4" s="94"/>
      <c r="C4" s="94"/>
      <c r="D4" s="94"/>
      <c r="E4" s="94"/>
      <c r="F4" s="94"/>
      <c r="G4" s="94"/>
      <c r="H4" s="9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4" t="s">
        <v>184</v>
      </c>
      <c r="C8" s="105"/>
      <c r="D8" s="105"/>
      <c r="E8" s="105"/>
      <c r="F8" s="105"/>
      <c r="G8" s="105"/>
      <c r="H8" s="106"/>
      <c r="I8" s="1"/>
    </row>
    <row r="9" spans="1:9" ht="15" customHeight="1" x14ac:dyDescent="0.25">
      <c r="A9" s="1"/>
      <c r="B9" s="129" t="s">
        <v>234</v>
      </c>
      <c r="C9" s="130"/>
      <c r="D9" s="130"/>
      <c r="E9" s="130"/>
      <c r="F9" s="130"/>
      <c r="G9" s="130"/>
      <c r="H9" s="131"/>
      <c r="I9" s="1"/>
    </row>
    <row r="10" spans="1:9" x14ac:dyDescent="0.25">
      <c r="A10" s="1"/>
      <c r="B10" s="132" t="s">
        <v>185</v>
      </c>
      <c r="C10" s="133"/>
      <c r="D10" s="133"/>
      <c r="E10" s="133"/>
      <c r="F10" s="134"/>
      <c r="G10" s="45"/>
      <c r="H10" s="9" t="s">
        <v>3</v>
      </c>
      <c r="I10" s="1"/>
    </row>
    <row r="11" spans="1:9" x14ac:dyDescent="0.25">
      <c r="A11" s="1"/>
      <c r="B11" s="132" t="s">
        <v>186</v>
      </c>
      <c r="C11" s="133"/>
      <c r="D11" s="133"/>
      <c r="E11" s="133"/>
      <c r="F11" s="134"/>
      <c r="G11" s="45"/>
      <c r="H11" s="9" t="s">
        <v>3</v>
      </c>
      <c r="I11" s="1"/>
    </row>
    <row r="12" spans="1:9" x14ac:dyDescent="0.25">
      <c r="A12" s="1"/>
      <c r="B12" s="132" t="s">
        <v>187</v>
      </c>
      <c r="C12" s="133"/>
      <c r="D12" s="133"/>
      <c r="E12" s="133"/>
      <c r="F12" s="134"/>
      <c r="G12" s="9"/>
      <c r="H12" s="9" t="s">
        <v>3</v>
      </c>
      <c r="I12" s="1"/>
    </row>
    <row r="13" spans="1:9" x14ac:dyDescent="0.25">
      <c r="A13" s="1"/>
      <c r="B13" s="132" t="s">
        <v>188</v>
      </c>
      <c r="C13" s="133"/>
      <c r="D13" s="133"/>
      <c r="E13" s="133"/>
      <c r="F13" s="134"/>
      <c r="G13" s="9"/>
      <c r="H13" s="9" t="s">
        <v>3</v>
      </c>
      <c r="I13" s="1"/>
    </row>
    <row r="14" spans="1:9" x14ac:dyDescent="0.25">
      <c r="A14" s="1"/>
      <c r="B14" s="132" t="s">
        <v>189</v>
      </c>
      <c r="C14" s="133"/>
      <c r="D14" s="133"/>
      <c r="E14" s="133"/>
      <c r="F14" s="134"/>
      <c r="G14" s="9"/>
      <c r="H14" s="9" t="s">
        <v>3</v>
      </c>
      <c r="I14" s="1"/>
    </row>
    <row r="15" spans="1:9" x14ac:dyDescent="0.25">
      <c r="A15" s="1"/>
      <c r="B15" s="132" t="s">
        <v>190</v>
      </c>
      <c r="C15" s="133"/>
      <c r="D15" s="133"/>
      <c r="E15" s="133"/>
      <c r="F15" s="134"/>
      <c r="G15" s="9"/>
      <c r="H15" s="9" t="s">
        <v>3</v>
      </c>
      <c r="I15" s="1"/>
    </row>
    <row r="16" spans="1:9" x14ac:dyDescent="0.25">
      <c r="A16" s="1"/>
      <c r="B16" s="132" t="s">
        <v>191</v>
      </c>
      <c r="C16" s="133"/>
      <c r="D16" s="133"/>
      <c r="E16" s="133"/>
      <c r="F16" s="134"/>
      <c r="G16" s="9"/>
      <c r="H16" s="9" t="s">
        <v>3</v>
      </c>
      <c r="I16" s="1"/>
    </row>
    <row r="17" spans="1:9" x14ac:dyDescent="0.25">
      <c r="A17" s="1"/>
      <c r="B17" s="132" t="s">
        <v>192</v>
      </c>
      <c r="C17" s="133"/>
      <c r="D17" s="133"/>
      <c r="E17" s="133"/>
      <c r="F17" s="134"/>
      <c r="G17" s="9"/>
      <c r="H17" s="9" t="s">
        <v>3</v>
      </c>
      <c r="I17" s="1"/>
    </row>
    <row r="18" spans="1:9" x14ac:dyDescent="0.25">
      <c r="A18" s="1"/>
      <c r="B18" s="104" t="s">
        <v>193</v>
      </c>
      <c r="C18" s="105"/>
      <c r="D18" s="105"/>
      <c r="E18" s="105"/>
      <c r="F18" s="106"/>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Na2BYmRkvd77Lf93t+9R1HWaPUH9ViCi0MIdqLFIn2qK0d/Qq+VGCwKNcdLw+H9Qc633FMp8misk/8m/6POIrg==" saltValue="fszXqBo0/G/pM9MrQfDHa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177</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4" t="s">
        <v>155</v>
      </c>
      <c r="C8" s="105"/>
      <c r="D8" s="105"/>
      <c r="E8" s="105"/>
      <c r="F8" s="105"/>
      <c r="G8" s="105"/>
      <c r="H8" s="105"/>
      <c r="I8" s="105"/>
      <c r="J8" s="105"/>
      <c r="K8" s="106"/>
      <c r="L8" s="1"/>
    </row>
    <row r="9" spans="1:12" ht="39.75" customHeight="1" x14ac:dyDescent="0.25">
      <c r="A9" s="1"/>
      <c r="B9" s="18" t="s">
        <v>0</v>
      </c>
      <c r="C9" s="18" t="s">
        <v>1</v>
      </c>
      <c r="D9" s="135" t="s">
        <v>170</v>
      </c>
      <c r="E9" s="136"/>
      <c r="F9" s="135" t="s">
        <v>2</v>
      </c>
      <c r="G9" s="136"/>
      <c r="H9" s="135" t="s">
        <v>171</v>
      </c>
      <c r="I9" s="136"/>
      <c r="J9" s="135" t="s">
        <v>26</v>
      </c>
      <c r="K9" s="136"/>
      <c r="L9" s="1"/>
    </row>
    <row r="10" spans="1:12" x14ac:dyDescent="0.25">
      <c r="A10" s="1"/>
      <c r="B10" s="75"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64"/>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FZ3SpzVOee146b2IMvAC88z5jXT3mU5h1VkXnEt5YUVex0c7twcWzbrBnZj3UhTRPvU0h1t32anJL0f/2HqfEA==" saltValue="1syXnKowDjSbYewpqJh99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178</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3" t="s">
        <v>15</v>
      </c>
      <c r="C9" s="73" t="s">
        <v>10</v>
      </c>
      <c r="D9" s="74"/>
      <c r="E9" s="73"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0</v>
      </c>
      <c r="D11" s="14" t="s">
        <v>3</v>
      </c>
      <c r="E11" s="9">
        <v>361302</v>
      </c>
      <c r="F11" s="14" t="s">
        <v>3</v>
      </c>
      <c r="G11" s="1"/>
    </row>
    <row r="12" spans="1:7" x14ac:dyDescent="0.25">
      <c r="A12" s="1"/>
      <c r="B12" s="27"/>
      <c r="C12" s="21"/>
      <c r="D12" s="14" t="s">
        <v>3</v>
      </c>
      <c r="E12" s="9"/>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0</v>
      </c>
      <c r="D17" s="13" t="s">
        <v>3</v>
      </c>
      <c r="E17" s="12">
        <f>SUM(E10:E16)</f>
        <v>361302</v>
      </c>
      <c r="F17" s="13" t="s">
        <v>3</v>
      </c>
      <c r="G17" s="1"/>
    </row>
    <row r="18" spans="1:7" x14ac:dyDescent="0.25">
      <c r="A18" s="1"/>
      <c r="B18" s="52" t="s">
        <v>209</v>
      </c>
      <c r="C18" s="12">
        <f>C17*(1+'Fane 13. Nøgletal'!C16)</f>
        <v>0</v>
      </c>
      <c r="D18" s="13" t="s">
        <v>3</v>
      </c>
      <c r="E18" s="12">
        <f>E17*(1+'Fane 13. Nøgletal'!C16)</f>
        <v>390495.20159999997</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yRItWxIOEevNe5zHnGJNPPSMQO+qEJzxCYbU/Cxnj1tr6FRgLOEIkTMB2KrjyY6E8lQQqKm9YOWyCsP/Tn6slQ==" saltValue="xq5lCPXCwygbMhPzNJapG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179</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4" t="s">
        <v>217</v>
      </c>
      <c r="C9" s="105"/>
      <c r="D9" s="105"/>
      <c r="E9" s="105"/>
      <c r="F9" s="106"/>
      <c r="G9" s="1"/>
    </row>
    <row r="10" spans="1:7" ht="26.25" x14ac:dyDescent="0.25">
      <c r="A10" s="1"/>
      <c r="B10" s="73" t="s">
        <v>15</v>
      </c>
      <c r="C10" s="73" t="s">
        <v>10</v>
      </c>
      <c r="D10" s="74"/>
      <c r="E10" s="73" t="s">
        <v>27</v>
      </c>
      <c r="F10" s="30"/>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4J/JZJ8LGtEo5lk9TF1VwqPMGoozCQf/eO4v/n2FQaL/OWwBKB5FtaXrmcmUYm2GgAQplA2NWgKPEZKBRiDTg==" saltValue="FY4sa76Xqzl7Bl6xnwzW7g=="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8"/>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180</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4" t="s">
        <v>104</v>
      </c>
      <c r="C8" s="105"/>
      <c r="D8" s="105"/>
      <c r="E8" s="105"/>
      <c r="F8" s="106"/>
      <c r="G8" s="1"/>
    </row>
    <row r="9" spans="1:7" ht="15" customHeight="1" x14ac:dyDescent="0.25">
      <c r="A9" s="1"/>
      <c r="B9" s="54" t="s">
        <v>105</v>
      </c>
      <c r="C9" s="129" t="s">
        <v>10</v>
      </c>
      <c r="D9" s="131"/>
      <c r="E9" s="129" t="s">
        <v>27</v>
      </c>
      <c r="F9" s="131"/>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44"/>
      <c r="B48" s="44"/>
      <c r="C48" s="44"/>
      <c r="D48" s="44"/>
      <c r="E48" s="44"/>
      <c r="F48" s="44"/>
      <c r="G48" s="44"/>
    </row>
  </sheetData>
  <sheetProtection algorithmName="SHA-512" hashValue="VWDK6lKjQXds8uY7TqoSEudexUydjmMSWZOur4Uzj1cXaHxiETLfPwlkAnn0VIK4xnB/GqWXRg6n31isiI9CwQ==" saltValue="/2S+oLTSNbadSjrAMeZ2bg=="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181</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4" t="s">
        <v>237</v>
      </c>
      <c r="C10" s="105"/>
      <c r="D10" s="105"/>
      <c r="E10" s="105"/>
      <c r="F10" s="106"/>
      <c r="G10" s="1"/>
    </row>
    <row r="11" spans="1:7" ht="26.25" x14ac:dyDescent="0.25">
      <c r="A11" s="1"/>
      <c r="B11" s="54" t="s">
        <v>16</v>
      </c>
      <c r="C11" s="54" t="s">
        <v>10</v>
      </c>
      <c r="D11" s="30"/>
      <c r="E11" s="54" t="s">
        <v>27</v>
      </c>
      <c r="F11" s="30"/>
      <c r="G11" s="1"/>
    </row>
    <row r="12" spans="1:7" x14ac:dyDescent="0.25">
      <c r="A12" s="1"/>
      <c r="B12" s="58" t="s">
        <v>242</v>
      </c>
      <c r="C12" s="9">
        <v>0</v>
      </c>
      <c r="D12" s="14" t="s">
        <v>3</v>
      </c>
      <c r="E12" s="9">
        <v>1762118</v>
      </c>
      <c r="F12" s="14" t="s">
        <v>3</v>
      </c>
      <c r="G12" s="1"/>
    </row>
    <row r="13" spans="1:7" x14ac:dyDescent="0.25">
      <c r="A13" s="1"/>
      <c r="B13" s="52" t="s">
        <v>78</v>
      </c>
      <c r="C13" s="12">
        <f>SUM(C12:C12)</f>
        <v>0</v>
      </c>
      <c r="D13" s="13" t="s">
        <v>3</v>
      </c>
      <c r="E13" s="12">
        <f>SUM(E12:E12)</f>
        <v>1762118</v>
      </c>
      <c r="F13" s="13" t="s">
        <v>3</v>
      </c>
      <c r="G13" s="1"/>
    </row>
    <row r="14" spans="1:7" x14ac:dyDescent="0.25">
      <c r="A14" s="1"/>
      <c r="B14" s="52" t="s">
        <v>233</v>
      </c>
      <c r="C14" s="12">
        <f>C13*(1+'Fane 13. Nøgletal'!C16)</f>
        <v>0</v>
      </c>
      <c r="D14" s="13" t="s">
        <v>3</v>
      </c>
      <c r="E14" s="12">
        <f>E13*(1+'Fane 13. Nøgletal'!C15)</f>
        <v>1824849.4008000002</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4XVLhJ52uTSx5cuXn53JSN+IhSaUc/JmK7d4W8xAtiPO8FwPkTXdwkcQkTZ6gL48rzInkE6EyUZh2rgAbRVJgw==" saltValue="O29sy4yb6BGzHbQFoMBcVQ=="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97" t="s">
        <v>182</v>
      </c>
      <c r="C3" s="97"/>
      <c r="D3" s="1"/>
    </row>
    <row r="4" spans="1:4" ht="25.5" customHeight="1" x14ac:dyDescent="0.25">
      <c r="A4" s="1"/>
      <c r="B4" s="97"/>
      <c r="C4" s="97"/>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4"/>
      <c r="C17" s="106"/>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8"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KOam/Pj+FLIcWIcj2C1utUTRyrFj9ey4B0iKJ5WJpRAfqSHmiJyWTxPDe4KzPmxyW2o/1/wh1Sc6AXLb+1Zvzw==" saltValue="eamqRi1RvMpAMaZNPbOL6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70" zoomScaleNormal="100" zoomScalePageLayoutView="7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21532575.981764846</v>
      </c>
      <c r="D8" s="8" t="s">
        <v>3</v>
      </c>
      <c r="E8" s="1"/>
    </row>
    <row r="9" spans="1:5" ht="17.100000000000001" customHeight="1" x14ac:dyDescent="0.25">
      <c r="A9" s="1"/>
      <c r="B9" s="24" t="s">
        <v>33</v>
      </c>
      <c r="C9" s="7">
        <f>'Fane 10.1. Varige tillæg'!C18</f>
        <v>0</v>
      </c>
      <c r="D9" s="8" t="s">
        <v>3</v>
      </c>
      <c r="E9" s="1"/>
    </row>
    <row r="10" spans="1:5" ht="17.100000000000001" customHeight="1" x14ac:dyDescent="0.25">
      <c r="A10" s="1"/>
      <c r="B10" s="24" t="s">
        <v>34</v>
      </c>
      <c r="C10" s="9">
        <f>'Fane 10.1. Varige tillæg'!E18</f>
        <v>390495.20159999997</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-1824849.4008000002</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SUM(C8,C11,C12)*'Fane 13. Nøgletal'!C15+SUM(C9,C10,C13,C14)*'Fane 13. Nøgletal'!C16</f>
        <v>733147.07857162843</v>
      </c>
      <c r="D15" s="8" t="s">
        <v>3</v>
      </c>
      <c r="E15" s="1"/>
    </row>
    <row r="16" spans="1:5" ht="17.100000000000001" customHeight="1" x14ac:dyDescent="0.25">
      <c r="A16" s="1"/>
      <c r="B16" s="24" t="s">
        <v>9</v>
      </c>
      <c r="C16" s="9">
        <f>-SUM(C8,C9:C15)*'Fane 5. Individuelt eff. krav'!G9</f>
        <v>-416627.3772227295</v>
      </c>
      <c r="D16" s="8" t="s">
        <v>3</v>
      </c>
      <c r="E16" s="1"/>
    </row>
    <row r="17" spans="1:5" ht="17.100000000000001" customHeight="1" x14ac:dyDescent="0.25">
      <c r="A17" s="1"/>
      <c r="B17" s="24" t="s">
        <v>22</v>
      </c>
      <c r="C17" s="9">
        <f>-'Fane 4.1. Gen. krav - drift'!G49</f>
        <v>-203124.34322055231</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0" t="s">
        <v>19</v>
      </c>
      <c r="C19" s="10">
        <f>SUM(C8:C18)</f>
        <v>20211617.140693195</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12117387.36955712</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0" t="s">
        <v>76</v>
      </c>
      <c r="C27" s="10">
        <f>SUM(C23:C26)</f>
        <v>0</v>
      </c>
      <c r="D27" s="11" t="s">
        <v>3</v>
      </c>
      <c r="E27" s="1"/>
    </row>
    <row r="28" spans="1:5" ht="15" customHeight="1" x14ac:dyDescent="0.25">
      <c r="A28" s="1"/>
      <c r="B28" s="26" t="s">
        <v>117</v>
      </c>
      <c r="C28" s="53"/>
      <c r="D28" s="19"/>
      <c r="E28" s="1"/>
    </row>
    <row r="29" spans="1:5" x14ac:dyDescent="0.25">
      <c r="A29" s="1"/>
      <c r="B29" s="69" t="s">
        <v>118</v>
      </c>
      <c r="C29" s="10">
        <f>'Fane 7. Kontrol af ØR2022'!E27</f>
        <v>0</v>
      </c>
      <c r="D29" s="11" t="s">
        <v>3</v>
      </c>
      <c r="E29" s="1"/>
    </row>
    <row r="30" spans="1:5" x14ac:dyDescent="0.25">
      <c r="A30" s="1"/>
      <c r="B30" s="26" t="s">
        <v>138</v>
      </c>
      <c r="C30" s="53"/>
      <c r="D30" s="19"/>
      <c r="E30" s="1"/>
    </row>
    <row r="31" spans="1:5" x14ac:dyDescent="0.25">
      <c r="A31" s="1"/>
      <c r="B31" s="69" t="s">
        <v>139</v>
      </c>
      <c r="C31" s="10">
        <f>'Fane 8. Skattesagen'!G13</f>
        <v>0</v>
      </c>
      <c r="D31" s="11" t="s">
        <v>3</v>
      </c>
      <c r="E31" s="1"/>
    </row>
    <row r="32" spans="1:5" x14ac:dyDescent="0.25">
      <c r="A32" s="1"/>
      <c r="B32" s="26" t="s">
        <v>260</v>
      </c>
      <c r="C32" s="53"/>
      <c r="D32" s="19"/>
      <c r="E32" s="1"/>
    </row>
    <row r="33" spans="1:5" x14ac:dyDescent="0.25">
      <c r="A33" s="1"/>
      <c r="B33" s="69" t="s">
        <v>261</v>
      </c>
      <c r="C33" s="10">
        <v>453817.2521375707</v>
      </c>
      <c r="D33" s="11" t="s">
        <v>3</v>
      </c>
      <c r="E33" s="1"/>
    </row>
    <row r="34" spans="1:5" x14ac:dyDescent="0.25">
      <c r="A34" s="1"/>
      <c r="B34" s="52" t="s">
        <v>126</v>
      </c>
      <c r="C34" s="33">
        <f>SUM(C19,C21,C27,C29,C31,C33)</f>
        <v>32782821.762387887</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cqz+9RF1mdaGw2A74UEEfmfvtYVowH8OoGg5k1VlUZtgafzwaTGI++NUOWGdLjT2wfUs4SV0ij0QKxBp3YU4XA==" saltValue="zr3P2lAvGgRfz/tbFuxbn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199</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20211617.140693195</v>
      </c>
      <c r="D8" s="8" t="s">
        <v>3</v>
      </c>
      <c r="E8" s="1"/>
    </row>
    <row r="9" spans="1:5" ht="15" customHeight="1" x14ac:dyDescent="0.25">
      <c r="A9" s="1"/>
      <c r="B9" s="29" t="s">
        <v>17</v>
      </c>
      <c r="C9" s="9">
        <f>SUM(C8:C8)*'Fane 13. Nøgletal'!C16</f>
        <v>1633098.66496801</v>
      </c>
      <c r="D9" s="8" t="s">
        <v>3</v>
      </c>
      <c r="E9" s="1"/>
    </row>
    <row r="10" spans="1:5" ht="15" customHeight="1" x14ac:dyDescent="0.25">
      <c r="A10" s="1"/>
      <c r="B10" s="29" t="s">
        <v>9</v>
      </c>
      <c r="C10" s="9">
        <f>-SUM(C8:C9)*'Fane 5. Individuelt eff. krav'!G9</f>
        <v>-436894.31611322414</v>
      </c>
      <c r="D10" s="8" t="s">
        <v>3</v>
      </c>
      <c r="E10" s="1"/>
    </row>
    <row r="11" spans="1:5" ht="15" customHeight="1" x14ac:dyDescent="0.25">
      <c r="A11" s="1"/>
      <c r="B11" s="29" t="s">
        <v>22</v>
      </c>
      <c r="C11" s="9">
        <f>-'Fane 4.1. Gen. krav - drift'!G54</f>
        <v>-215146.05434971751</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21192675.435198266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13096472.269017335</v>
      </c>
      <c r="D15" s="11" t="s">
        <v>3</v>
      </c>
      <c r="E15" s="1"/>
    </row>
    <row r="16" spans="1:5" x14ac:dyDescent="0.25">
      <c r="A16" s="1"/>
      <c r="B16" s="26" t="s">
        <v>117</v>
      </c>
      <c r="C16" s="53"/>
      <c r="D16" s="19"/>
      <c r="E16" s="1"/>
    </row>
    <row r="17" spans="1:5" ht="15" customHeight="1" x14ac:dyDescent="0.25">
      <c r="A17" s="1"/>
      <c r="B17" s="69" t="s">
        <v>118</v>
      </c>
      <c r="C17" s="10">
        <f>'Fane 7. Kontrol af ØR2022'!E33</f>
        <v>-488831.46967451461</v>
      </c>
      <c r="D17" s="11" t="s">
        <v>3</v>
      </c>
      <c r="E17" s="1"/>
    </row>
    <row r="18" spans="1:5" x14ac:dyDescent="0.25">
      <c r="A18" s="1"/>
      <c r="B18" s="26" t="s">
        <v>138</v>
      </c>
      <c r="C18" s="53"/>
      <c r="D18" s="19"/>
      <c r="E18" s="1"/>
    </row>
    <row r="19" spans="1:5" x14ac:dyDescent="0.25">
      <c r="A19" s="1"/>
      <c r="B19" s="69" t="s">
        <v>139</v>
      </c>
      <c r="C19" s="10">
        <f>'Fane 8. Skattesagen'!G13</f>
        <v>0</v>
      </c>
      <c r="D19" s="11" t="s">
        <v>3</v>
      </c>
      <c r="E19" s="1"/>
    </row>
    <row r="20" spans="1:5" x14ac:dyDescent="0.25">
      <c r="A20" s="1"/>
      <c r="B20" s="52" t="s">
        <v>128</v>
      </c>
      <c r="C20" s="12">
        <f>SUM(C13,C15,C17,C19)</f>
        <v>33800316.234541088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Mcyu4wp/AeNSWcCHKHRCVWLtOi6Xd5mQ599zb37Zjgl019YsqEApQoyjxcl/XCJ6jsGddRQ7QE4hML6b6CnKA==" saltValue="iQI1N7toiSg3e2tphhx4C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21192675.435198266</v>
      </c>
      <c r="D8" s="8" t="s">
        <v>3</v>
      </c>
      <c r="E8" s="1"/>
    </row>
    <row r="9" spans="1:5" ht="15" customHeight="1" x14ac:dyDescent="0.25">
      <c r="A9" s="1"/>
      <c r="B9" s="29" t="s">
        <v>17</v>
      </c>
      <c r="C9" s="9">
        <f>SUM(C8:C8)*'Fane 13. Nøgletal'!C16</f>
        <v>1712368.1751640199</v>
      </c>
      <c r="D9" s="8" t="s">
        <v>3</v>
      </c>
      <c r="E9" s="1"/>
    </row>
    <row r="10" spans="1:5" ht="15" customHeight="1" x14ac:dyDescent="0.25">
      <c r="A10" s="1"/>
      <c r="B10" s="29" t="s">
        <v>9</v>
      </c>
      <c r="C10" s="9">
        <f>-SUM(C8:C9)*'Fane 5. Individuelt eff. krav'!G9</f>
        <v>-458100.87220724579</v>
      </c>
      <c r="D10" s="8" t="s">
        <v>3</v>
      </c>
      <c r="E10" s="1"/>
    </row>
    <row r="11" spans="1:5" ht="15" customHeight="1" x14ac:dyDescent="0.25">
      <c r="A11" s="1"/>
      <c r="B11" s="29" t="s">
        <v>22</v>
      </c>
      <c r="C11" s="9">
        <f>-'Fane 4.1. Gen. krav - drift'!G59</f>
        <v>-227879.25843035121</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22219063.47972469</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14154667.228353934</v>
      </c>
      <c r="D15" s="11" t="s">
        <v>3</v>
      </c>
      <c r="E15" s="1"/>
    </row>
    <row r="16" spans="1:5" x14ac:dyDescent="0.25">
      <c r="A16" s="1"/>
      <c r="B16" s="52" t="s">
        <v>117</v>
      </c>
      <c r="C16" s="53"/>
      <c r="D16" s="19"/>
      <c r="E16" s="1"/>
    </row>
    <row r="17" spans="1:5" x14ac:dyDescent="0.25">
      <c r="A17" s="1"/>
      <c r="B17" s="54" t="s">
        <v>118</v>
      </c>
      <c r="C17" s="10">
        <f>'Fane 7. Kontrol af ØR2022'!E33</f>
        <v>-488831.46967451461</v>
      </c>
      <c r="D17" s="11" t="s">
        <v>3</v>
      </c>
      <c r="E17" s="1"/>
    </row>
    <row r="18" spans="1:5" ht="15" customHeight="1" x14ac:dyDescent="0.25">
      <c r="A18" s="1"/>
      <c r="B18" s="26" t="s">
        <v>138</v>
      </c>
      <c r="C18" s="53"/>
      <c r="D18" s="19"/>
      <c r="E18" s="1"/>
    </row>
    <row r="19" spans="1:5" ht="15" customHeight="1" x14ac:dyDescent="0.25">
      <c r="A19" s="1"/>
      <c r="B19" s="69" t="s">
        <v>139</v>
      </c>
      <c r="C19" s="10">
        <f>'Fane 8. Skattesagen'!G14</f>
        <v>0</v>
      </c>
      <c r="D19" s="11" t="s">
        <v>3</v>
      </c>
      <c r="E19" s="1"/>
    </row>
    <row r="20" spans="1:5" x14ac:dyDescent="0.25">
      <c r="A20" s="1"/>
      <c r="B20" s="52" t="s">
        <v>143</v>
      </c>
      <c r="C20" s="12">
        <f>SUM(C13,C15,C17,C19)</f>
        <v>35884899.23840411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ZCf+fZ/M5PUbzh3TGDqrdstFg5ge7F10Uvhw4Ejz8HDnKq8TcTuFkIlv5W23h9O8YLQR7tr2N47SBQy2Xvb2EA==" saltValue="5bVmXR3MjDZy/3xCbNDt3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204</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22219063.47972469</v>
      </c>
      <c r="D8" s="8" t="s">
        <v>3</v>
      </c>
      <c r="E8" s="1"/>
    </row>
    <row r="9" spans="1:5" ht="15" customHeight="1" x14ac:dyDescent="0.25">
      <c r="A9" s="1"/>
      <c r="B9" s="29" t="s">
        <v>17</v>
      </c>
      <c r="C9" s="9">
        <f>SUM(C8:C8)*'Fane 13. Nøgletal'!C16</f>
        <v>1795300.3291617548</v>
      </c>
      <c r="D9" s="8" t="s">
        <v>3</v>
      </c>
      <c r="E9" s="1"/>
    </row>
    <row r="10" spans="1:5" ht="15" customHeight="1" x14ac:dyDescent="0.25">
      <c r="A10" s="1"/>
      <c r="B10" s="29" t="s">
        <v>9</v>
      </c>
      <c r="C10" s="9">
        <f>-SUM(C8:C9)*'Fane 5. Individuelt eff. krav'!G9</f>
        <v>-480287.27617772896</v>
      </c>
      <c r="D10" s="8" t="s">
        <v>3</v>
      </c>
      <c r="E10" s="1"/>
    </row>
    <row r="11" spans="1:5" ht="15" customHeight="1" x14ac:dyDescent="0.25">
      <c r="A11" s="1"/>
      <c r="B11" s="29" t="s">
        <v>22</v>
      </c>
      <c r="C11" s="9">
        <f>-'Fane 4.1. Gen. krav - drift'!G64</f>
        <v>-241366.06446129311</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23292710.468247421</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15298364.340404933</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69" t="s">
        <v>139</v>
      </c>
      <c r="C19" s="10">
        <f>'Fane 8. Skattesagen'!G15</f>
        <v>0</v>
      </c>
      <c r="D19" s="11" t="s">
        <v>3</v>
      </c>
      <c r="E19" s="1"/>
    </row>
    <row r="20" spans="1:5" x14ac:dyDescent="0.25">
      <c r="A20" s="1"/>
      <c r="B20" s="52" t="s">
        <v>205</v>
      </c>
      <c r="C20" s="12">
        <f>SUM(C13,C15,C17,C19)</f>
        <v>38591074.808652356</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Q8tUUPP27AKThbP7Nmb6gHh2dk7R1XY7wdROt4I5Y8AYzNTyMgMk0eaIIvEJPvLkbdNsSFApEOT4IMpkazz1A==" saltValue="xVaNjaVh3+Iwdwm3ergtB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97" t="s">
        <v>201</v>
      </c>
      <c r="C3" s="97"/>
      <c r="D3" s="97"/>
      <c r="E3" s="1"/>
    </row>
    <row r="4" spans="1:5"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21410095.125730172</v>
      </c>
      <c r="D8" s="8" t="s">
        <v>3</v>
      </c>
      <c r="E8" s="1"/>
    </row>
    <row r="9" spans="1:5" x14ac:dyDescent="0.25">
      <c r="A9" s="1"/>
      <c r="B9" s="24" t="s">
        <v>33</v>
      </c>
      <c r="C9" s="7">
        <v>440.13000000000005</v>
      </c>
      <c r="D9" s="8" t="s">
        <v>3</v>
      </c>
      <c r="E9" s="1"/>
    </row>
    <row r="10" spans="1:5" x14ac:dyDescent="0.25">
      <c r="A10" s="1"/>
      <c r="B10" s="24" t="s">
        <v>34</v>
      </c>
      <c r="C10" s="9">
        <v>3375.0204000000003</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762335.20583023399</v>
      </c>
      <c r="D15" s="8" t="s">
        <v>3</v>
      </c>
      <c r="E15" s="1"/>
    </row>
    <row r="16" spans="1:5" x14ac:dyDescent="0.25">
      <c r="A16" s="1"/>
      <c r="B16" s="24" t="s">
        <v>9</v>
      </c>
      <c r="C16" s="9">
        <v>-443524.90963920811</v>
      </c>
      <c r="D16" s="8" t="s">
        <v>3</v>
      </c>
      <c r="E16" s="1"/>
    </row>
    <row r="17" spans="1:5" x14ac:dyDescent="0.25">
      <c r="A17" s="1"/>
      <c r="B17" s="24" t="s">
        <v>22</v>
      </c>
      <c r="C17" s="9">
        <v>-200144.59055634937</v>
      </c>
      <c r="D17" s="8" t="s">
        <v>3</v>
      </c>
      <c r="E17" s="1"/>
    </row>
    <row r="18" spans="1:5" x14ac:dyDescent="0.25">
      <c r="A18" s="1"/>
      <c r="B18" s="24" t="s">
        <v>23</v>
      </c>
      <c r="C18" s="9">
        <v>0</v>
      </c>
      <c r="D18" s="8" t="s">
        <v>3</v>
      </c>
      <c r="E18" s="1"/>
    </row>
    <row r="19" spans="1:5" x14ac:dyDescent="0.25">
      <c r="A19" s="1"/>
      <c r="B19" s="70" t="s">
        <v>19</v>
      </c>
      <c r="C19" s="10">
        <v>21532575.981764846</v>
      </c>
      <c r="D19" s="11" t="s">
        <v>3</v>
      </c>
      <c r="E19" s="1"/>
    </row>
    <row r="20" spans="1:5" x14ac:dyDescent="0.25">
      <c r="A20" s="1"/>
      <c r="B20" s="52" t="s">
        <v>11</v>
      </c>
      <c r="C20" s="53"/>
      <c r="D20" s="19"/>
      <c r="E20" s="1"/>
    </row>
    <row r="21" spans="1:5" x14ac:dyDescent="0.25">
      <c r="A21" s="1"/>
      <c r="B21" s="54" t="s">
        <v>11</v>
      </c>
      <c r="C21" s="10">
        <v>12314602.171330562</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0" t="s">
        <v>76</v>
      </c>
      <c r="C27" s="57">
        <v>0</v>
      </c>
      <c r="D27" s="11" t="s">
        <v>3</v>
      </c>
      <c r="E27" s="1"/>
    </row>
    <row r="28" spans="1:5" x14ac:dyDescent="0.25">
      <c r="A28" s="1"/>
      <c r="B28" s="26" t="s">
        <v>117</v>
      </c>
      <c r="C28" s="53"/>
      <c r="D28" s="19"/>
      <c r="E28" s="1"/>
    </row>
    <row r="29" spans="1:5" x14ac:dyDescent="0.25">
      <c r="A29" s="1"/>
      <c r="B29" s="69" t="s">
        <v>118</v>
      </c>
      <c r="C29" s="10">
        <v>0</v>
      </c>
      <c r="D29" s="11" t="s">
        <v>3</v>
      </c>
      <c r="E29" s="1"/>
    </row>
    <row r="30" spans="1:5" x14ac:dyDescent="0.25">
      <c r="A30" s="1"/>
      <c r="B30" s="26" t="s">
        <v>138</v>
      </c>
      <c r="C30" s="53"/>
      <c r="D30" s="19"/>
      <c r="E30" s="1"/>
    </row>
    <row r="31" spans="1:5" x14ac:dyDescent="0.25">
      <c r="A31" s="1"/>
      <c r="B31" s="69" t="s">
        <v>139</v>
      </c>
      <c r="C31" s="10">
        <v>0</v>
      </c>
      <c r="D31" s="11" t="s">
        <v>3</v>
      </c>
      <c r="E31" s="1"/>
    </row>
    <row r="32" spans="1:5" x14ac:dyDescent="0.25">
      <c r="A32" s="1"/>
      <c r="B32" s="52" t="s">
        <v>239</v>
      </c>
      <c r="C32" s="33">
        <v>33847178.153095409</v>
      </c>
      <c r="D32" s="19" t="s">
        <v>3</v>
      </c>
      <c r="E32" s="1"/>
    </row>
    <row r="33" spans="1:5" ht="30" customHeight="1" x14ac:dyDescent="0.25">
      <c r="A33" s="1"/>
      <c r="B33" s="96" t="s">
        <v>240</v>
      </c>
      <c r="C33" s="96"/>
      <c r="D33" s="96"/>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IJhkBgsmGu+jCrT2SBMKlFrSPOasLNJO8yF5iK+m8yEA/oNAT1GiTSPn9DysjGlVgw2ofgQ6zwlaUtBdsUbBOw==" saltValue="7tfYdX5KmPCd+/vi/Hj6jQ=="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97" t="s">
        <v>90</v>
      </c>
      <c r="C1" s="97"/>
      <c r="D1" s="97"/>
      <c r="E1" s="97"/>
      <c r="F1" s="97"/>
      <c r="G1" s="97"/>
      <c r="H1" s="97"/>
      <c r="I1" s="1"/>
    </row>
    <row r="2" spans="1:9" ht="15" customHeight="1" x14ac:dyDescent="0.25">
      <c r="A2" s="1"/>
      <c r="B2" s="97"/>
      <c r="C2" s="97"/>
      <c r="D2" s="97"/>
      <c r="E2" s="97"/>
      <c r="F2" s="97"/>
      <c r="G2" s="97"/>
      <c r="H2" s="97"/>
      <c r="I2" s="1"/>
    </row>
    <row r="3" spans="1:9" ht="15" customHeight="1" x14ac:dyDescent="0.25">
      <c r="A3" s="1"/>
      <c r="B3" s="97"/>
      <c r="C3" s="97"/>
      <c r="D3" s="97"/>
      <c r="E3" s="97"/>
      <c r="F3" s="97"/>
      <c r="G3" s="97"/>
      <c r="H3" s="97"/>
      <c r="I3" s="1"/>
    </row>
    <row r="4" spans="1:9" x14ac:dyDescent="0.25">
      <c r="A4" s="1"/>
      <c r="B4" s="104" t="s">
        <v>44</v>
      </c>
      <c r="C4" s="105"/>
      <c r="D4" s="105"/>
      <c r="E4" s="105"/>
      <c r="F4" s="105"/>
      <c r="G4" s="105"/>
      <c r="H4" s="106"/>
      <c r="I4" s="1"/>
    </row>
    <row r="5" spans="1:9" x14ac:dyDescent="0.25">
      <c r="A5" s="1"/>
      <c r="B5" s="98" t="s">
        <v>36</v>
      </c>
      <c r="C5" s="99"/>
      <c r="D5" s="99"/>
      <c r="E5" s="99"/>
      <c r="F5" s="100"/>
      <c r="G5" s="47">
        <v>10109141.314623382</v>
      </c>
      <c r="H5" s="14" t="s">
        <v>3</v>
      </c>
      <c r="I5" s="1"/>
    </row>
    <row r="6" spans="1:9" x14ac:dyDescent="0.25">
      <c r="A6" s="1"/>
      <c r="B6" s="98" t="s">
        <v>37</v>
      </c>
      <c r="C6" s="99"/>
      <c r="D6" s="99"/>
      <c r="E6" s="99"/>
      <c r="F6" s="100"/>
      <c r="G6" s="22">
        <f>G5*'Fane 13. Nøgletal'!C33</f>
        <v>202182.82629246765</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4" t="s">
        <v>45</v>
      </c>
      <c r="C9" s="105"/>
      <c r="D9" s="105"/>
      <c r="E9" s="105"/>
      <c r="F9" s="105"/>
      <c r="G9" s="105"/>
      <c r="H9" s="106"/>
      <c r="I9" s="1"/>
    </row>
    <row r="10" spans="1:9" x14ac:dyDescent="0.25">
      <c r="A10" s="1"/>
      <c r="B10" s="98" t="s">
        <v>38</v>
      </c>
      <c r="C10" s="99"/>
      <c r="D10" s="99"/>
      <c r="E10" s="99"/>
      <c r="F10" s="100"/>
      <c r="G10" s="22">
        <f>(G5-G6)*(1+'Fane 13. Nøgletal'!C9)</f>
        <v>10032776.861132715</v>
      </c>
      <c r="H10" s="14" t="s">
        <v>3</v>
      </c>
      <c r="I10" s="1"/>
    </row>
    <row r="11" spans="1:9" x14ac:dyDescent="0.25">
      <c r="A11" s="1"/>
      <c r="B11" s="101" t="s">
        <v>228</v>
      </c>
      <c r="C11" s="102"/>
      <c r="D11" s="102"/>
      <c r="E11" s="102"/>
      <c r="F11" s="103"/>
      <c r="G11" s="47">
        <v>0</v>
      </c>
      <c r="H11" s="14" t="s">
        <v>3</v>
      </c>
      <c r="I11" s="1"/>
    </row>
    <row r="12" spans="1:9" x14ac:dyDescent="0.25">
      <c r="A12" s="1"/>
      <c r="B12" s="98" t="s">
        <v>39</v>
      </c>
      <c r="C12" s="99"/>
      <c r="D12" s="99"/>
      <c r="E12" s="99"/>
      <c r="F12" s="100"/>
      <c r="G12" s="22">
        <f>(G10+G11)*'Fane 13. Nøgletal'!C33</f>
        <v>200655.5372226543</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4" t="s">
        <v>46</v>
      </c>
      <c r="C15" s="105"/>
      <c r="D15" s="105"/>
      <c r="E15" s="105"/>
      <c r="F15" s="105"/>
      <c r="G15" s="105"/>
      <c r="H15" s="106"/>
      <c r="I15" s="1"/>
    </row>
    <row r="16" spans="1:9" x14ac:dyDescent="0.25">
      <c r="A16" s="1"/>
      <c r="B16" s="98" t="s">
        <v>40</v>
      </c>
      <c r="C16" s="99"/>
      <c r="D16" s="99"/>
      <c r="E16" s="99"/>
      <c r="F16" s="100"/>
      <c r="G16" s="22">
        <f>(G10+G11-G12)*(1+'Fane 13. Nøgletal'!C11)</f>
        <v>9998284.1742841396</v>
      </c>
      <c r="H16" s="14" t="s">
        <v>3</v>
      </c>
      <c r="I16" s="1"/>
    </row>
    <row r="17" spans="1:9" x14ac:dyDescent="0.25">
      <c r="A17" s="1"/>
      <c r="B17" s="98" t="s">
        <v>100</v>
      </c>
      <c r="C17" s="99"/>
      <c r="D17" s="99"/>
      <c r="E17" s="99"/>
      <c r="F17" s="100"/>
      <c r="G17" s="47">
        <v>0</v>
      </c>
      <c r="H17" s="14" t="s">
        <v>3</v>
      </c>
      <c r="I17" s="1"/>
    </row>
    <row r="18" spans="1:9" x14ac:dyDescent="0.25">
      <c r="A18" s="1"/>
      <c r="B18" s="101" t="s">
        <v>229</v>
      </c>
      <c r="C18" s="102"/>
      <c r="D18" s="102"/>
      <c r="E18" s="102"/>
      <c r="F18" s="103"/>
      <c r="G18" s="47">
        <v>0</v>
      </c>
      <c r="H18" s="14" t="s">
        <v>3</v>
      </c>
      <c r="I18" s="1"/>
    </row>
    <row r="19" spans="1:9" x14ac:dyDescent="0.25">
      <c r="A19" s="1"/>
      <c r="B19" s="98" t="s">
        <v>41</v>
      </c>
      <c r="C19" s="99"/>
      <c r="D19" s="99"/>
      <c r="E19" s="99"/>
      <c r="F19" s="100"/>
      <c r="G19" s="22">
        <f>SUM(G16:G18)*'Fane 13. Nøgletal'!C33</f>
        <v>199965.68348568279</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4" t="s">
        <v>47</v>
      </c>
      <c r="C22" s="105"/>
      <c r="D22" s="105"/>
      <c r="E22" s="105"/>
      <c r="F22" s="105"/>
      <c r="G22" s="105"/>
      <c r="H22" s="106"/>
      <c r="I22" s="1"/>
    </row>
    <row r="23" spans="1:9" x14ac:dyDescent="0.25">
      <c r="A23" s="1"/>
      <c r="B23" s="98" t="s">
        <v>42</v>
      </c>
      <c r="C23" s="99"/>
      <c r="D23" s="99"/>
      <c r="E23" s="99"/>
      <c r="F23" s="100"/>
      <c r="G23" s="22">
        <f>(SUM(G16:G18)-G19)*(1+'Fane 13. Nøgletal'!C11)</f>
        <v>9963910.0732929502</v>
      </c>
      <c r="H23" s="14" t="s">
        <v>3</v>
      </c>
      <c r="I23" s="1"/>
    </row>
    <row r="24" spans="1:9" x14ac:dyDescent="0.25">
      <c r="A24" s="1"/>
      <c r="B24" s="101" t="s">
        <v>230</v>
      </c>
      <c r="C24" s="102"/>
      <c r="D24" s="102"/>
      <c r="E24" s="102"/>
      <c r="F24" s="103"/>
      <c r="G24" s="47">
        <v>0</v>
      </c>
      <c r="H24" s="14" t="s">
        <v>3</v>
      </c>
      <c r="I24" s="1"/>
    </row>
    <row r="25" spans="1:9" x14ac:dyDescent="0.25">
      <c r="A25" s="1"/>
      <c r="B25" s="98" t="s">
        <v>43</v>
      </c>
      <c r="C25" s="99"/>
      <c r="D25" s="99"/>
      <c r="E25" s="99"/>
      <c r="F25" s="100"/>
      <c r="G25" s="22">
        <f>(G23+G24)*'Fane 13. Nøgletal'!C33</f>
        <v>199278.20146585902</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4" t="s">
        <v>121</v>
      </c>
      <c r="C28" s="105"/>
      <c r="D28" s="105"/>
      <c r="E28" s="105"/>
      <c r="F28" s="105"/>
      <c r="G28" s="105"/>
      <c r="H28" s="106"/>
      <c r="I28" s="1"/>
    </row>
    <row r="29" spans="1:9" x14ac:dyDescent="0.25">
      <c r="A29" s="1"/>
      <c r="B29" s="98" t="s">
        <v>50</v>
      </c>
      <c r="C29" s="99"/>
      <c r="D29" s="99"/>
      <c r="E29" s="99"/>
      <c r="F29" s="100"/>
      <c r="G29" s="22">
        <f>(G23+G24-G25)*(1+'Fane 13. Nøgletal'!C13)</f>
        <v>9883760.3806633819</v>
      </c>
      <c r="H29" s="14" t="s">
        <v>3</v>
      </c>
      <c r="I29" s="1"/>
    </row>
    <row r="30" spans="1:9" x14ac:dyDescent="0.25">
      <c r="A30" s="1"/>
      <c r="B30" s="98" t="s">
        <v>231</v>
      </c>
      <c r="C30" s="99"/>
      <c r="D30" s="99"/>
      <c r="E30" s="99"/>
      <c r="F30" s="100"/>
      <c r="G30" s="47">
        <v>0</v>
      </c>
      <c r="H30" s="14" t="s">
        <v>3</v>
      </c>
      <c r="I30" s="1"/>
    </row>
    <row r="31" spans="1:9" x14ac:dyDescent="0.25">
      <c r="A31" s="1"/>
      <c r="B31" s="98" t="s">
        <v>115</v>
      </c>
      <c r="C31" s="99"/>
      <c r="D31" s="99"/>
      <c r="E31" s="99"/>
      <c r="F31" s="100"/>
      <c r="G31" s="22">
        <f>(G29+G30)*'Fane 13. Nøgletal'!C33</f>
        <v>197675.20761326764</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4" t="s">
        <v>122</v>
      </c>
      <c r="C34" s="105"/>
      <c r="D34" s="105"/>
      <c r="E34" s="105"/>
      <c r="F34" s="105"/>
      <c r="G34" s="105"/>
      <c r="H34" s="106"/>
      <c r="I34" s="1"/>
    </row>
    <row r="35" spans="1:9" x14ac:dyDescent="0.25">
      <c r="A35" s="1"/>
      <c r="B35" s="98" t="s">
        <v>69</v>
      </c>
      <c r="C35" s="99"/>
      <c r="D35" s="99"/>
      <c r="E35" s="99"/>
      <c r="F35" s="100"/>
      <c r="G35" s="22">
        <f>(G29+G30-G31)*(1+'Fane 13. Nøgletal'!C13)</f>
        <v>9804255.412161326</v>
      </c>
      <c r="H35" s="14" t="s">
        <v>3</v>
      </c>
      <c r="I35" s="1"/>
    </row>
    <row r="36" spans="1:9" x14ac:dyDescent="0.25">
      <c r="A36" s="1"/>
      <c r="B36" s="98" t="s">
        <v>232</v>
      </c>
      <c r="C36" s="99"/>
      <c r="D36" s="99"/>
      <c r="E36" s="99"/>
      <c r="F36" s="100"/>
      <c r="G36" s="47">
        <v>55722.959037730012</v>
      </c>
      <c r="H36" s="14" t="s">
        <v>3</v>
      </c>
      <c r="I36" s="1"/>
    </row>
    <row r="37" spans="1:9" x14ac:dyDescent="0.25">
      <c r="A37" s="1"/>
      <c r="B37" s="98" t="s">
        <v>123</v>
      </c>
      <c r="C37" s="99"/>
      <c r="D37" s="99"/>
      <c r="E37" s="99"/>
      <c r="F37" s="100"/>
      <c r="G37" s="22">
        <f>(G35+G36)*'Fane 13. Nøgletal'!C33</f>
        <v>197199.56742398115</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4" t="s">
        <v>157</v>
      </c>
      <c r="C40" s="105"/>
      <c r="D40" s="105"/>
      <c r="E40" s="105"/>
      <c r="F40" s="105"/>
      <c r="G40" s="105"/>
      <c r="H40" s="106"/>
      <c r="I40" s="1"/>
    </row>
    <row r="41" spans="1:9" x14ac:dyDescent="0.25">
      <c r="A41" s="1"/>
      <c r="B41" s="98" t="s">
        <v>68</v>
      </c>
      <c r="C41" s="99"/>
      <c r="D41" s="99"/>
      <c r="E41" s="99"/>
      <c r="F41" s="100"/>
      <c r="G41" s="22">
        <f>(G35+G36-G37)*(1+'Fane 13. Nøgletal'!C15)</f>
        <v>10006773.729189469</v>
      </c>
      <c r="H41" s="14" t="s">
        <v>3</v>
      </c>
      <c r="I41" s="1"/>
    </row>
    <row r="42" spans="1:9" x14ac:dyDescent="0.25">
      <c r="A42" s="1"/>
      <c r="B42" s="98" t="s">
        <v>156</v>
      </c>
      <c r="C42" s="99"/>
      <c r="D42" s="99"/>
      <c r="E42" s="99"/>
      <c r="F42" s="100"/>
      <c r="G42" s="22">
        <v>455.79862800000006</v>
      </c>
      <c r="H42" s="14" t="s">
        <v>3</v>
      </c>
      <c r="I42" s="1"/>
    </row>
    <row r="43" spans="1:9" x14ac:dyDescent="0.25">
      <c r="A43" s="1"/>
      <c r="B43" s="98" t="s">
        <v>166</v>
      </c>
      <c r="C43" s="99"/>
      <c r="D43" s="99"/>
      <c r="E43" s="99"/>
      <c r="F43" s="100"/>
      <c r="G43" s="22">
        <f>(G41+G42)*'Fane 13. Nøgletal'!C33</f>
        <v>200144.59055634937</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4" t="s">
        <v>158</v>
      </c>
      <c r="C46" s="105"/>
      <c r="D46" s="105"/>
      <c r="E46" s="105"/>
      <c r="F46" s="105"/>
      <c r="G46" s="105"/>
      <c r="H46" s="106"/>
      <c r="I46" s="1"/>
    </row>
    <row r="47" spans="1:9" x14ac:dyDescent="0.25">
      <c r="A47" s="1"/>
      <c r="B47" s="98" t="s">
        <v>112</v>
      </c>
      <c r="C47" s="99"/>
      <c r="D47" s="99"/>
      <c r="E47" s="99"/>
      <c r="F47" s="100"/>
      <c r="G47" s="22">
        <f>(G41+G42-G43)*(1+'Fane 13. Nøgletal'!C15)</f>
        <v>10156217.161027616</v>
      </c>
      <c r="H47" s="14" t="s">
        <v>3</v>
      </c>
      <c r="I47" s="1"/>
    </row>
    <row r="48" spans="1:9" x14ac:dyDescent="0.25">
      <c r="A48" s="1"/>
      <c r="B48" s="98" t="s">
        <v>206</v>
      </c>
      <c r="C48" s="99"/>
      <c r="D48" s="99"/>
      <c r="E48" s="99"/>
      <c r="F48" s="100"/>
      <c r="G48" s="56">
        <f>('Fane 2.1. Økonomisk ramme 2024'!C9+'Fane 2.1. Økonomisk ramme 2024'!C11+'Fane 2.1. Økonomisk ramme 2024'!C13)*(1+'Fane 13. Nøgletal'!C16)</f>
        <v>0</v>
      </c>
      <c r="H48" s="14" t="s">
        <v>3</v>
      </c>
      <c r="I48" s="1"/>
    </row>
    <row r="49" spans="1:9" x14ac:dyDescent="0.25">
      <c r="A49" s="1"/>
      <c r="B49" s="98" t="s">
        <v>167</v>
      </c>
      <c r="C49" s="99"/>
      <c r="D49" s="99"/>
      <c r="E49" s="99"/>
      <c r="F49" s="100"/>
      <c r="G49" s="22">
        <f>G47*'Fane 13. Nøgletal'!C33+G48*'Fane 13. Nøgletal'!C33</f>
        <v>203124.34322055231</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4" t="s">
        <v>133</v>
      </c>
      <c r="C52" s="105"/>
      <c r="D52" s="105"/>
      <c r="E52" s="105"/>
      <c r="F52" s="105"/>
      <c r="G52" s="105"/>
      <c r="H52" s="106"/>
      <c r="I52" s="1"/>
    </row>
    <row r="53" spans="1:9" x14ac:dyDescent="0.25">
      <c r="A53" s="1"/>
      <c r="B53" s="98" t="s">
        <v>134</v>
      </c>
      <c r="C53" s="99"/>
      <c r="D53" s="99"/>
      <c r="E53" s="99"/>
      <c r="F53" s="100"/>
      <c r="G53" s="22">
        <f>(G47+G48-G49)*(1+'Fane 13. Nøgletal'!C16)</f>
        <v>10757302.717485875</v>
      </c>
      <c r="H53" s="14" t="s">
        <v>3</v>
      </c>
      <c r="I53" s="1"/>
    </row>
    <row r="54" spans="1:9" x14ac:dyDescent="0.25">
      <c r="A54" s="1"/>
      <c r="B54" s="98" t="s">
        <v>135</v>
      </c>
      <c r="C54" s="99"/>
      <c r="D54" s="99"/>
      <c r="E54" s="99"/>
      <c r="F54" s="100"/>
      <c r="G54" s="22">
        <f>(G53)*'Fane 13. Nøgletal'!C33</f>
        <v>215146.05434971751</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4" t="s">
        <v>144</v>
      </c>
      <c r="C57" s="105"/>
      <c r="D57" s="105"/>
      <c r="E57" s="105"/>
      <c r="F57" s="105"/>
      <c r="G57" s="105"/>
      <c r="H57" s="106"/>
      <c r="I57" s="1"/>
    </row>
    <row r="58" spans="1:9" x14ac:dyDescent="0.25">
      <c r="A58" s="1"/>
      <c r="B58" s="98" t="s">
        <v>145</v>
      </c>
      <c r="C58" s="99"/>
      <c r="D58" s="99"/>
      <c r="E58" s="99"/>
      <c r="F58" s="100"/>
      <c r="G58" s="22">
        <f>(G53-G54)*(1+'Fane 13. Nøgletal'!C16)</f>
        <v>11393962.92151756</v>
      </c>
      <c r="H58" s="14" t="s">
        <v>3</v>
      </c>
      <c r="I58" s="1"/>
    </row>
    <row r="59" spans="1:9" x14ac:dyDescent="0.25">
      <c r="A59" s="1"/>
      <c r="B59" s="98" t="s">
        <v>146</v>
      </c>
      <c r="C59" s="99"/>
      <c r="D59" s="99"/>
      <c r="E59" s="99"/>
      <c r="F59" s="100"/>
      <c r="G59" s="22">
        <f>(G58)*'Fane 13. Nøgletal'!C33</f>
        <v>227879.25843035121</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4" t="s">
        <v>220</v>
      </c>
      <c r="C62" s="105"/>
      <c r="D62" s="105"/>
      <c r="E62" s="105"/>
      <c r="F62" s="105"/>
      <c r="G62" s="105"/>
      <c r="H62" s="106"/>
      <c r="I62" s="1"/>
    </row>
    <row r="63" spans="1:9" x14ac:dyDescent="0.25">
      <c r="A63" s="1"/>
      <c r="B63" s="98" t="s">
        <v>221</v>
      </c>
      <c r="C63" s="99"/>
      <c r="D63" s="99"/>
      <c r="E63" s="99"/>
      <c r="F63" s="100"/>
      <c r="G63" s="22">
        <f>(G58-G59)*(1+'Fane 13. Nøgletal'!C16)</f>
        <v>12068303.223064655</v>
      </c>
      <c r="H63" s="14" t="s">
        <v>3</v>
      </c>
      <c r="I63" s="1"/>
    </row>
    <row r="64" spans="1:9" x14ac:dyDescent="0.25">
      <c r="A64" s="1"/>
      <c r="B64" s="98" t="s">
        <v>222</v>
      </c>
      <c r="C64" s="99"/>
      <c r="D64" s="99"/>
      <c r="E64" s="99"/>
      <c r="F64" s="100"/>
      <c r="G64" s="22">
        <f>(G63)*'Fane 13. Nøgletal'!C33</f>
        <v>241366.06446129311</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krHbJ9R2nCkfa8TatwXrxsYUSAltODYpTQd22v50GbTT8MX9peBNpFKJsI+2DBZBuA/EwjSP4SsxQWZ5cOCQjg==" saltValue="Rz/dWFyOSgRE8JZI0BLCIw==" spinCount="100000" sheet="1" objects="1" scenarios="1"/>
  <mergeCells count="42">
    <mergeCell ref="B62:H62"/>
    <mergeCell ref="B63:F63"/>
    <mergeCell ref="B64:F64"/>
    <mergeCell ref="B59:F59"/>
    <mergeCell ref="B52:H52"/>
    <mergeCell ref="B53:F53"/>
    <mergeCell ref="B54:F54"/>
    <mergeCell ref="B58:F58"/>
    <mergeCell ref="B37:F37"/>
    <mergeCell ref="B46:H46"/>
    <mergeCell ref="B48:F48"/>
    <mergeCell ref="B36:F36"/>
    <mergeCell ref="B57:H57"/>
    <mergeCell ref="B47:F47"/>
    <mergeCell ref="B49:F49"/>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07" t="s">
        <v>91</v>
      </c>
      <c r="C1" s="108"/>
      <c r="D1" s="108"/>
      <c r="E1" s="108"/>
      <c r="F1" s="108"/>
      <c r="G1" s="108"/>
      <c r="H1" s="108"/>
      <c r="I1" s="1"/>
    </row>
    <row r="2" spans="1:9" ht="19.899999999999999" customHeight="1" x14ac:dyDescent="0.25">
      <c r="A2" s="1"/>
      <c r="B2" s="108"/>
      <c r="C2" s="108"/>
      <c r="D2" s="108"/>
      <c r="E2" s="108"/>
      <c r="F2" s="108"/>
      <c r="G2" s="108"/>
      <c r="H2" s="108"/>
      <c r="I2" s="1"/>
    </row>
    <row r="3" spans="1:9" ht="15" customHeight="1" x14ac:dyDescent="0.25">
      <c r="A3" s="1"/>
      <c r="B3" s="109"/>
      <c r="C3" s="109"/>
      <c r="D3" s="109"/>
      <c r="E3" s="109"/>
      <c r="F3" s="109"/>
      <c r="G3" s="109"/>
      <c r="H3" s="109"/>
      <c r="I3" s="1"/>
    </row>
    <row r="4" spans="1:9" x14ac:dyDescent="0.25">
      <c r="A4" s="1"/>
      <c r="B4" s="104" t="s">
        <v>48</v>
      </c>
      <c r="C4" s="105"/>
      <c r="D4" s="105"/>
      <c r="E4" s="105"/>
      <c r="F4" s="105"/>
      <c r="G4" s="105"/>
      <c r="H4" s="106"/>
      <c r="I4" s="1"/>
    </row>
    <row r="5" spans="1:9" x14ac:dyDescent="0.25">
      <c r="A5" s="1"/>
      <c r="B5" s="98" t="s">
        <v>51</v>
      </c>
      <c r="C5" s="99"/>
      <c r="D5" s="99"/>
      <c r="E5" s="99"/>
      <c r="F5" s="100"/>
      <c r="G5" s="47">
        <v>8664845.4405658785</v>
      </c>
      <c r="H5" s="14" t="s">
        <v>3</v>
      </c>
      <c r="I5" s="1"/>
    </row>
    <row r="6" spans="1:9" x14ac:dyDescent="0.25">
      <c r="A6" s="1"/>
      <c r="B6" s="98" t="s">
        <v>49</v>
      </c>
      <c r="C6" s="99"/>
      <c r="D6" s="99"/>
      <c r="E6" s="99"/>
      <c r="F6" s="100"/>
      <c r="G6" s="22">
        <f>G5*'Fane 13. Nøgletal'!C21</f>
        <v>78850.093509149505</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4" t="s">
        <v>52</v>
      </c>
      <c r="C9" s="105"/>
      <c r="D9" s="105"/>
      <c r="E9" s="105"/>
      <c r="F9" s="105"/>
      <c r="G9" s="105"/>
      <c r="H9" s="106"/>
      <c r="I9" s="1"/>
    </row>
    <row r="10" spans="1:9" x14ac:dyDescent="0.25">
      <c r="A10" s="1"/>
      <c r="B10" s="98" t="s">
        <v>53</v>
      </c>
      <c r="C10" s="99"/>
      <c r="D10" s="99"/>
      <c r="E10" s="99"/>
      <c r="F10" s="100"/>
      <c r="G10" s="22">
        <f>(G5-G6)*(1+'Fane 13. Nøgletal'!C9)</f>
        <v>8695037.4879643489</v>
      </c>
      <c r="H10" s="14" t="s">
        <v>3</v>
      </c>
      <c r="I10" s="1"/>
    </row>
    <row r="11" spans="1:9" x14ac:dyDescent="0.25">
      <c r="A11" s="1"/>
      <c r="B11" s="101" t="s">
        <v>54</v>
      </c>
      <c r="C11" s="102"/>
      <c r="D11" s="102"/>
      <c r="E11" s="102"/>
      <c r="F11" s="103"/>
      <c r="G11" s="48">
        <v>0</v>
      </c>
      <c r="H11" s="14" t="s">
        <v>3</v>
      </c>
      <c r="I11" s="1"/>
    </row>
    <row r="12" spans="1:9" x14ac:dyDescent="0.25">
      <c r="A12" s="1"/>
      <c r="B12" s="98" t="s">
        <v>55</v>
      </c>
      <c r="C12" s="99"/>
      <c r="D12" s="99"/>
      <c r="E12" s="99"/>
      <c r="F12" s="100"/>
      <c r="G12" s="22">
        <f>G10*'Fane 13. Nøgletal'!C21+G11*'Fane 13. Nøgletal'!C22</f>
        <v>79124.841140475575</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4" t="s">
        <v>56</v>
      </c>
      <c r="C15" s="105"/>
      <c r="D15" s="105"/>
      <c r="E15" s="105"/>
      <c r="F15" s="105"/>
      <c r="G15" s="105"/>
      <c r="H15" s="106"/>
      <c r="I15" s="1"/>
    </row>
    <row r="16" spans="1:9" x14ac:dyDescent="0.25">
      <c r="A16" s="1"/>
      <c r="B16" s="98" t="s">
        <v>57</v>
      </c>
      <c r="C16" s="99"/>
      <c r="D16" s="99"/>
      <c r="E16" s="99"/>
      <c r="F16" s="100"/>
      <c r="G16" s="22">
        <f>(G10+G11-G12)*(1+'Fane 13. Nøgletal'!C11)</f>
        <v>8761521.5705551971</v>
      </c>
      <c r="H16" s="14" t="s">
        <v>3</v>
      </c>
      <c r="I16" s="1"/>
    </row>
    <row r="17" spans="1:9" x14ac:dyDescent="0.25">
      <c r="A17" s="1"/>
      <c r="B17" s="98" t="s">
        <v>101</v>
      </c>
      <c r="C17" s="99"/>
      <c r="D17" s="99"/>
      <c r="E17" s="99"/>
      <c r="F17" s="100"/>
      <c r="G17" s="47">
        <v>-697708.95852100162</v>
      </c>
      <c r="H17" s="14" t="s">
        <v>3</v>
      </c>
      <c r="I17" s="1"/>
    </row>
    <row r="18" spans="1:9" x14ac:dyDescent="0.25">
      <c r="A18" s="1"/>
      <c r="B18" s="101" t="s">
        <v>58</v>
      </c>
      <c r="C18" s="102"/>
      <c r="D18" s="102"/>
      <c r="E18" s="102"/>
      <c r="F18" s="103"/>
      <c r="G18" s="47">
        <v>2100187.5445712097</v>
      </c>
      <c r="H18" s="14" t="s">
        <v>3</v>
      </c>
      <c r="I18" s="1"/>
    </row>
    <row r="19" spans="1:9" x14ac:dyDescent="0.25">
      <c r="A19" s="1"/>
      <c r="B19" s="98" t="s">
        <v>59</v>
      </c>
      <c r="C19" s="99"/>
      <c r="D19" s="99"/>
      <c r="E19" s="99"/>
      <c r="F19" s="100"/>
      <c r="G19" s="22">
        <f>(G16+G17+G18)*'Fane 13. Nøgletal'!C23</f>
        <v>88426.801362467013</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4" t="s">
        <v>60</v>
      </c>
      <c r="C22" s="105"/>
      <c r="D22" s="105"/>
      <c r="E22" s="105"/>
      <c r="F22" s="105"/>
      <c r="G22" s="105"/>
      <c r="H22" s="106"/>
      <c r="I22" s="1"/>
    </row>
    <row r="23" spans="1:9" x14ac:dyDescent="0.25">
      <c r="A23" s="1"/>
      <c r="B23" s="98" t="s">
        <v>61</v>
      </c>
      <c r="C23" s="99"/>
      <c r="D23" s="99"/>
      <c r="E23" s="99"/>
      <c r="F23" s="100"/>
      <c r="G23" s="22">
        <f>(SUM(G16:G18)-G19)*(1+'Fane 13. Nøgletal'!C11)</f>
        <v>10245850.54494654</v>
      </c>
      <c r="H23" s="14" t="s">
        <v>3</v>
      </c>
      <c r="I23" s="1"/>
    </row>
    <row r="24" spans="1:9" x14ac:dyDescent="0.25">
      <c r="A24" s="1"/>
      <c r="B24" s="101" t="s">
        <v>62</v>
      </c>
      <c r="C24" s="102"/>
      <c r="D24" s="102"/>
      <c r="E24" s="102"/>
      <c r="F24" s="103"/>
      <c r="G24" s="47">
        <v>2085780.0635081241</v>
      </c>
      <c r="H24" s="14" t="s">
        <v>3</v>
      </c>
      <c r="I24" s="1"/>
    </row>
    <row r="25" spans="1:9" x14ac:dyDescent="0.25">
      <c r="A25" s="1"/>
      <c r="B25" s="98" t="s">
        <v>63</v>
      </c>
      <c r="C25" s="99"/>
      <c r="D25" s="99"/>
      <c r="E25" s="99"/>
      <c r="F25" s="100"/>
      <c r="G25" s="22">
        <f>G23*'Fane 13. Nøgletal'!C23+G24*'Fane 13. Nøgletal'!C24</f>
        <v>148375.05354466563</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4" t="s">
        <v>119</v>
      </c>
      <c r="C28" s="105"/>
      <c r="D28" s="105"/>
      <c r="E28" s="105"/>
      <c r="F28" s="105"/>
      <c r="G28" s="105"/>
      <c r="H28" s="106"/>
      <c r="I28" s="1"/>
    </row>
    <row r="29" spans="1:9" x14ac:dyDescent="0.25">
      <c r="A29" s="1"/>
      <c r="B29" s="98" t="s">
        <v>64</v>
      </c>
      <c r="C29" s="99"/>
      <c r="D29" s="99"/>
      <c r="E29" s="99"/>
      <c r="F29" s="100"/>
      <c r="G29" s="22">
        <f>(G23+G24-G25)*(1+'Fane 13. Nøgletal'!C13)</f>
        <v>12331891.272679901</v>
      </c>
      <c r="H29" s="14" t="s">
        <v>3</v>
      </c>
      <c r="I29" s="1"/>
    </row>
    <row r="30" spans="1:9" x14ac:dyDescent="0.25">
      <c r="A30" s="1"/>
      <c r="B30" s="98" t="s">
        <v>113</v>
      </c>
      <c r="C30" s="99"/>
      <c r="D30" s="99"/>
      <c r="E30" s="99"/>
      <c r="F30" s="100"/>
      <c r="G30" s="47">
        <v>1141368.9232856401</v>
      </c>
      <c r="H30" s="14" t="s">
        <v>3</v>
      </c>
      <c r="I30" s="1"/>
    </row>
    <row r="31" spans="1:9" x14ac:dyDescent="0.25">
      <c r="A31" s="1"/>
      <c r="B31" s="98" t="s">
        <v>120</v>
      </c>
      <c r="C31" s="99"/>
      <c r="D31" s="99"/>
      <c r="E31" s="99"/>
      <c r="F31" s="100"/>
      <c r="G31" s="22">
        <f>(G29+G30)*'Fane 13. Nøgletal'!C25</f>
        <v>370514.65538905241</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4" t="s">
        <v>124</v>
      </c>
      <c r="C34" s="105"/>
      <c r="D34" s="105"/>
      <c r="E34" s="105"/>
      <c r="F34" s="105"/>
      <c r="G34" s="105"/>
      <c r="H34" s="106"/>
      <c r="I34" s="1"/>
    </row>
    <row r="35" spans="1:9" x14ac:dyDescent="0.25">
      <c r="A35" s="1"/>
      <c r="B35" s="98" t="s">
        <v>67</v>
      </c>
      <c r="C35" s="99"/>
      <c r="D35" s="99"/>
      <c r="E35" s="99"/>
      <c r="F35" s="100"/>
      <c r="G35" s="22">
        <f>(G29+G30-G31)*(1+'Fane 13. Nøgletal'!C13)</f>
        <v>13262599.036171522</v>
      </c>
      <c r="H35" s="14" t="s">
        <v>3</v>
      </c>
      <c r="I35" s="1"/>
    </row>
    <row r="36" spans="1:9" x14ac:dyDescent="0.25">
      <c r="A36" s="1"/>
      <c r="B36" s="98" t="s">
        <v>129</v>
      </c>
      <c r="C36" s="99"/>
      <c r="D36" s="99"/>
      <c r="E36" s="99"/>
      <c r="F36" s="100"/>
      <c r="G36" s="22">
        <v>1223083.5685053901</v>
      </c>
      <c r="H36" s="14" t="s">
        <v>3</v>
      </c>
      <c r="I36" s="1"/>
    </row>
    <row r="37" spans="1:9" x14ac:dyDescent="0.25">
      <c r="A37" s="1"/>
      <c r="B37" s="98" t="s">
        <v>125</v>
      </c>
      <c r="C37" s="99"/>
      <c r="D37" s="99"/>
      <c r="E37" s="99"/>
      <c r="F37" s="100"/>
      <c r="G37" s="22">
        <f>G35*'Fane 13. Nøgletal'!C25+G36*'Fane 13. Nøgletal'!C26</f>
        <v>382823.11030859663</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4" t="s">
        <v>159</v>
      </c>
      <c r="C40" s="105"/>
      <c r="D40" s="105"/>
      <c r="E40" s="105"/>
      <c r="F40" s="105"/>
      <c r="G40" s="105"/>
      <c r="H40" s="106"/>
      <c r="I40" s="1"/>
    </row>
    <row r="41" spans="1:9" x14ac:dyDescent="0.25">
      <c r="A41" s="1"/>
      <c r="B41" s="98" t="s">
        <v>66</v>
      </c>
      <c r="C41" s="99"/>
      <c r="D41" s="99"/>
      <c r="E41" s="99"/>
      <c r="F41" s="100"/>
      <c r="G41" s="22">
        <f>(G35+G36-G37)*(1+'Fane 13. Nøgletal'!C15)</f>
        <v>14604921.292367827</v>
      </c>
      <c r="H41" s="14" t="s">
        <v>3</v>
      </c>
      <c r="I41" s="1"/>
    </row>
    <row r="42" spans="1:9" x14ac:dyDescent="0.25">
      <c r="A42" s="1"/>
      <c r="B42" s="98" t="s">
        <v>169</v>
      </c>
      <c r="C42" s="99"/>
      <c r="D42" s="99"/>
      <c r="E42" s="99"/>
      <c r="F42" s="100"/>
      <c r="G42" s="9">
        <v>3495.1711262400008</v>
      </c>
      <c r="H42" s="14" t="s">
        <v>3</v>
      </c>
      <c r="I42" s="1"/>
    </row>
    <row r="43" spans="1:9" x14ac:dyDescent="0.25">
      <c r="A43" s="1"/>
      <c r="B43" s="98" t="s">
        <v>65</v>
      </c>
      <c r="C43" s="99"/>
      <c r="D43" s="99"/>
      <c r="E43" s="99"/>
      <c r="F43" s="100"/>
      <c r="G43" s="56">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4" t="s">
        <v>160</v>
      </c>
      <c r="C46" s="105"/>
      <c r="D46" s="105"/>
      <c r="E46" s="105"/>
      <c r="F46" s="105"/>
      <c r="G46" s="105"/>
      <c r="H46" s="106"/>
      <c r="I46" s="1"/>
    </row>
    <row r="47" spans="1:9" x14ac:dyDescent="0.25">
      <c r="A47" s="1"/>
      <c r="B47" s="98" t="s">
        <v>114</v>
      </c>
      <c r="C47" s="99"/>
      <c r="D47" s="99"/>
      <c r="E47" s="99"/>
      <c r="F47" s="100"/>
      <c r="G47" s="22">
        <f>(G41+G42-G43)*(1+'Fane 13. Nøgletal'!C15)</f>
        <v>15128476.089594457</v>
      </c>
      <c r="H47" s="14" t="s">
        <v>3</v>
      </c>
      <c r="I47" s="1"/>
    </row>
    <row r="48" spans="1:9" x14ac:dyDescent="0.25">
      <c r="A48" s="1"/>
      <c r="B48" s="98" t="s">
        <v>210</v>
      </c>
      <c r="C48" s="99"/>
      <c r="D48" s="99"/>
      <c r="E48" s="99"/>
      <c r="F48" s="100"/>
      <c r="G48" s="22">
        <f>('Fane 2.1. Økonomisk ramme 2024'!C10+'Fane 2.1. Økonomisk ramme 2024'!C12+'Fane 2.1. Økonomisk ramme 2024'!C14)*(1+'Fane 13. Nøgletal'!C16)</f>
        <v>-1550250.0184953602</v>
      </c>
      <c r="H48" s="14" t="s">
        <v>3</v>
      </c>
      <c r="I48" s="1"/>
    </row>
    <row r="49" spans="1:9" x14ac:dyDescent="0.25">
      <c r="A49" s="1"/>
      <c r="B49" s="98" t="s">
        <v>211</v>
      </c>
      <c r="C49" s="99"/>
      <c r="D49" s="99"/>
      <c r="E49" s="99"/>
      <c r="F49" s="100"/>
      <c r="G49" s="56">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4" t="s">
        <v>130</v>
      </c>
      <c r="C52" s="105"/>
      <c r="D52" s="105"/>
      <c r="E52" s="105"/>
      <c r="F52" s="105"/>
      <c r="G52" s="105"/>
      <c r="H52" s="106"/>
      <c r="I52" s="1"/>
    </row>
    <row r="53" spans="1:9" x14ac:dyDescent="0.25">
      <c r="A53" s="1"/>
      <c r="B53" s="98" t="s">
        <v>131</v>
      </c>
      <c r="C53" s="99"/>
      <c r="D53" s="99"/>
      <c r="E53" s="99"/>
      <c r="F53" s="100"/>
      <c r="G53" s="22">
        <f>(G47+G48-G49)*(1+'Fane 13. Nøgletal'!C16)</f>
        <v>14675346.737643903</v>
      </c>
      <c r="H53" s="14" t="s">
        <v>3</v>
      </c>
      <c r="I53" s="1"/>
    </row>
    <row r="54" spans="1:9" x14ac:dyDescent="0.25">
      <c r="A54" s="1"/>
      <c r="B54" s="98" t="s">
        <v>132</v>
      </c>
      <c r="C54" s="99"/>
      <c r="D54" s="99"/>
      <c r="E54" s="99"/>
      <c r="F54" s="100"/>
      <c r="G54" s="56">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4" t="s">
        <v>147</v>
      </c>
      <c r="C57" s="105"/>
      <c r="D57" s="105"/>
      <c r="E57" s="105"/>
      <c r="F57" s="105"/>
      <c r="G57" s="105"/>
      <c r="H57" s="106"/>
      <c r="I57" s="1"/>
    </row>
    <row r="58" spans="1:9" x14ac:dyDescent="0.25">
      <c r="A58" s="1"/>
      <c r="B58" s="98" t="s">
        <v>148</v>
      </c>
      <c r="C58" s="99"/>
      <c r="D58" s="99"/>
      <c r="E58" s="99"/>
      <c r="F58" s="100"/>
      <c r="G58" s="22">
        <f>(G53-G54)*(1+'Fane 13. Nøgletal'!C16)</f>
        <v>15861114.754045531</v>
      </c>
      <c r="H58" s="14" t="s">
        <v>3</v>
      </c>
      <c r="I58" s="1"/>
    </row>
    <row r="59" spans="1:9" x14ac:dyDescent="0.25">
      <c r="A59" s="1"/>
      <c r="B59" s="98" t="s">
        <v>149</v>
      </c>
      <c r="C59" s="99"/>
      <c r="D59" s="99"/>
      <c r="E59" s="99"/>
      <c r="F59" s="100"/>
      <c r="G59" s="56">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4" t="s">
        <v>223</v>
      </c>
      <c r="C62" s="105"/>
      <c r="D62" s="105"/>
      <c r="E62" s="105"/>
      <c r="F62" s="105"/>
      <c r="G62" s="105"/>
      <c r="H62" s="106"/>
      <c r="I62" s="1"/>
    </row>
    <row r="63" spans="1:9" x14ac:dyDescent="0.25">
      <c r="A63" s="1"/>
      <c r="B63" s="98" t="s">
        <v>224</v>
      </c>
      <c r="C63" s="99"/>
      <c r="D63" s="99"/>
      <c r="E63" s="99"/>
      <c r="F63" s="100"/>
      <c r="G63" s="22">
        <f>(G58-G59)*(1+'Fane 13. Nøgletal'!C16)</f>
        <v>17142692.826172411</v>
      </c>
      <c r="H63" s="14" t="s">
        <v>3</v>
      </c>
      <c r="I63" s="1"/>
    </row>
    <row r="64" spans="1:9" x14ac:dyDescent="0.25">
      <c r="A64" s="1"/>
      <c r="B64" s="98" t="s">
        <v>225</v>
      </c>
      <c r="C64" s="99"/>
      <c r="D64" s="99"/>
      <c r="E64" s="99"/>
      <c r="F64" s="100"/>
      <c r="G64" s="56">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qnSOJXv2lYCaR3AsIaiZrpG/Z7F5orkvzLmh8F/xccPGBFqpQz9SL0EpOWBSvlXRysN+3V+w7z896y9W29W2IQ==" saltValue="35JSXS2DcX8wrtSvASZtlg==" spinCount="100000" sheet="1" objects="1" scenarios="1"/>
  <mergeCells count="42">
    <mergeCell ref="B62:H62"/>
    <mergeCell ref="B63:F63"/>
    <mergeCell ref="B64:F64"/>
    <mergeCell ref="B57:H57"/>
    <mergeCell ref="B58:F58"/>
    <mergeCell ref="B59:F59"/>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9:F49"/>
    <mergeCell ref="B36:F36"/>
    <mergeCell ref="B42:F42"/>
    <mergeCell ref="B41:F41"/>
    <mergeCell ref="B40:H40"/>
    <mergeCell ref="B37:F37"/>
    <mergeCell ref="B46:H46"/>
    <mergeCell ref="B48:F48"/>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4" t="s">
        <v>77</v>
      </c>
      <c r="C3" s="94"/>
      <c r="D3" s="94"/>
      <c r="E3" s="94"/>
      <c r="F3" s="94"/>
      <c r="G3" s="94"/>
      <c r="H3" s="1"/>
    </row>
    <row r="4" spans="1:8" ht="15" customHeight="1" x14ac:dyDescent="0.25">
      <c r="A4" s="1"/>
      <c r="B4" s="94"/>
      <c r="C4" s="94"/>
      <c r="D4" s="94"/>
      <c r="E4" s="94"/>
      <c r="F4" s="94"/>
      <c r="G4" s="9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4" t="s">
        <v>9</v>
      </c>
      <c r="C8" s="105"/>
      <c r="D8" s="105"/>
      <c r="E8" s="105"/>
      <c r="F8" s="105"/>
      <c r="G8" s="106"/>
      <c r="H8" s="1"/>
    </row>
    <row r="9" spans="1:8" x14ac:dyDescent="0.25">
      <c r="A9" s="1"/>
      <c r="B9" s="65" t="s">
        <v>150</v>
      </c>
      <c r="C9" s="66"/>
      <c r="D9" s="66"/>
      <c r="E9" s="66"/>
      <c r="F9" s="67"/>
      <c r="G9" s="51">
        <v>0.02</v>
      </c>
      <c r="H9" s="1"/>
    </row>
    <row r="10" spans="1:8" x14ac:dyDescent="0.25">
      <c r="A10" s="1"/>
      <c r="B10" s="52"/>
      <c r="C10" s="53"/>
      <c r="D10" s="53"/>
      <c r="E10" s="53"/>
      <c r="F10" s="53"/>
      <c r="G10" s="19"/>
      <c r="H10" s="1"/>
    </row>
    <row r="11" spans="1:8" ht="15" customHeight="1" x14ac:dyDescent="0.25">
      <c r="A11" s="1"/>
      <c r="B11" s="110" t="s">
        <v>236</v>
      </c>
      <c r="C11" s="111"/>
      <c r="D11" s="111"/>
      <c r="E11" s="111"/>
      <c r="F11" s="111"/>
      <c r="G11" s="112"/>
      <c r="H11" s="1"/>
    </row>
    <row r="12" spans="1:8" ht="13.5" customHeight="1" x14ac:dyDescent="0.25">
      <c r="A12" s="1"/>
      <c r="B12" s="113"/>
      <c r="C12" s="114"/>
      <c r="D12" s="114"/>
      <c r="E12" s="114"/>
      <c r="F12" s="114"/>
      <c r="G12" s="115"/>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gvdy2GLuQqRQxBTHArduGib7NVAZDdrwOBRizT9KMoD+v/uxeuhGWkg2j3+5PLHCI63ZpNb44S899MbYLq0TJQ==" saltValue="CEnFXNex5j9H5JN+Bfj94g=="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2023-11-22T10:22:51Z</dcterms:modified>
</cp:coreProperties>
</file>