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Denne_projektmappe" defaultThemeVersion="124226"/>
  <mc:AlternateContent xmlns:mc="http://schemas.openxmlformats.org/markup-compatibility/2006">
    <mc:Choice Requires="x15">
      <x15ac:absPath xmlns:x15ac="http://schemas.microsoft.com/office/spreadsheetml/2010/11/ac" url="E:\VAND\Sagsbehandling\Spildevand\Køge Afløb AS (S059)\ØR2025\"/>
    </mc:Choice>
  </mc:AlternateContent>
  <xr:revisionPtr revIDLastSave="0" documentId="13_ncr:1_{2DA391DD-BE79-44BA-848E-5E20122B5292}"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<sst xmlns="http://schemas.openxmlformats.org/spreadsheetml/2006/main" count="554" uniqueCount="239">
  <si>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</si>
  <si>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</si>
  <si>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</si>
  <si>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</si>
  <si>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</si>
  <si>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</si>
  <si>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</si>
  <si>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</si>
  <si>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</si>
  <si>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</si>
  <si>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</si>
  <si>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</si>
  <si>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</si>
  <si>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</si>
  <si>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</si>
  <si>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</si>
  <si>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</si>
  <si>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</si>
  <si>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</si>
  <si>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</si>
  <si>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</si>
  <si>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</si>
  <si>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</si>
  <si>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</si>
  <si>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</si>
  <si>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</si>
  <si>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</si>
  <si>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</si>
  <si>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</si>
  <si>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</si>
  <si>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</si>
  <si>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</si>
  <si>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</si>
  <si>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</si>
  <si>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</si>
  <si>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</si>
  <si>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</si>
  <si>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</si>
  <si>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</si>
  <si>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</si>
  <si>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</si>
  <si>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</si>
  <si>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</si>
  <si>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</si>
  <si>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</si>
  <si>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</si>
  <si>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</si>
  <si>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</si>
  <si>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</si>
  <si>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</si>
  <si>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</si>
  <si>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</si>
  <si>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</si>
  <si>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</si>
  <si>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</si>
  <si>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</si>
  <si>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</si>
  <si>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</si>
  <si>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</si>
  <si>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</si>
  <si>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</si>
  <si>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</si>
  <si>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</si>
  <si>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</si>
  <si>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</si>
  <si>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</si>
  <si>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</si>
  <si>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</si>
  <si>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</si>
  <si>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</si>
  <si>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</si>
  <si>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</si>
  <si>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</si>
  <si>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</si>
  <si>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</si>
  <si>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</si>
  <si>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</si>
  <si>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</si>
  <si>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</si>
  <si>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</si>
  <si>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</si>
  <si>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</si>
  <si>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</si>
  <si>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</si>
  <si>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</si>
  <si>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</si>
  <si>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</si>
  <si>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</si>
  <si>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</si>
  <si>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</si>
  <si>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</si>
  <si>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</si>
  <si>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</si>
  <si>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</si>
  <si>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</si>
  <si>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</si>
  <si>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</si>
  <si>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</si>
  <si>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</si>
  <si>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</si>
  <si>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</si>
  <si>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</si>
  <si>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</si>
  <si>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</si>
  <si>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</si>
  <si>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</si>
  <si>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</si>
  <si>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</si>
  <si>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</si>
  <si>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</si>
  <si>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</si>
  <si>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</si>
  <si>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</si>
  <si>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</si>
  <si>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</si>
  <si>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</si>
  <si>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</si>
  <si>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</si>
  <si>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</si>
  <si>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</si>
  <si>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</si>
  <si>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</si>
  <si>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</si>
  <si>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</si>
  <si>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</si>
  <si>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</si>
  <si>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</si>
  <si>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</si>
  <si>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</si>
  <si>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</si>
  <si>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</si>
  <si>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</si>
  <si>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</si>
  <si>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</si>
  <si>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</si>
  <si>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</si>
  <si>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</si>
  <si>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</si>
  <si>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</si>
  <si>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</si>
  <si>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</si>
  <si>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</si>
  <si>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</si>
  <si>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</si>
  <si>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</si>
  <si>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</si>
  <si>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</si>
  <si>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</si>
  <si>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</si>
  <si>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</si>
  <si>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</si>
  <si>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</si>
  <si>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</si>
  <si>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</si>
  <si>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</si>
  <si>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</si>
  <si>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</si>
  <si>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</si>
  <si>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</si>
  <si>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</si>
  <si>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</si>
  <si>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</si>
  <si>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</si>
  <si>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</si>
  <si>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</si>
  <si>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</si>
  <si>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</si>
  <si>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</si>
  <si>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</si>
  <si>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</si>
  <si>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</si>
  <si>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</si>
  <si>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</si>
  <si>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</si>
  <si>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</si>
  <si>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</si>
  <si>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</si>
  <si>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</si>
  <si>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</si>
  <si>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</si>
  <si>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</si>
  <si>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</si>
  <si>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</si>
  <si>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</si>
  <si>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</si>
  <si>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</si>
  <si>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</si>
  <si>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</si>
  <si>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</si>
  <si>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</si>
  <si>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</si>
  <si>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</si>
  <si>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</si>
  <si>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</si>
  <si>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</si>
  <si>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</si>
  <si>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</si>
  <si>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</si>
  <si>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</si>
  <si>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</si>
  <si>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</si>
  <si>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</si>
  <si>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</si>
  <si>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</si>
  <si>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</si>
  <si>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</si>
  <si>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</si>
  <si>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</si>
  <si>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</si>
  <si>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</si>
  <si>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</si>
  <si>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</si>
  <si>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</si>
  <si>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</si>
  <si>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</si>
  <si>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</si>
  <si>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</si>
  <si>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</si>
  <si>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</si>
  <si>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</si>
  <si>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</si>
  <si>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</si>
  <si>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</si>
  <si>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</si>
  <si>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</si>
  <si>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</si>
  <si>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</si>
  <si>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</si>
  <si>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Spildevandsafgift</t>
  </si>
  <si>
    <t>Afgift til Forsyningssekretariatet</t>
  </si>
  <si>
    <t>Køb af ydelser og produkter fra andre vandselskaber reguleret af vandsektorloven</t>
  </si>
  <si>
    <t>Ejendomsskatter</t>
  </si>
  <si>
    <t>Gebyr til Miljøstyrelsen</t>
  </si>
  <si>
    <t>Til statusmeddelelse for 2025</t>
  </si>
  <si>
    <t>Herfølge Syd (KoHave)</t>
  </si>
  <si>
    <t>Køge Jorddepot</t>
  </si>
  <si>
    <t>Køge Kyst</t>
  </si>
  <si>
    <t>Køge Nord</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</si>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</sst>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9">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5" t="s">
        <v>4</v>
      </c>
      <c r="D6" s="85"/>
      <c r="E6" s="85"/>
      <c r="F6" s="85"/>
      <c r="G6" s="3"/>
    </row>
    <row r="7" spans="1:7" ht="15" customHeight="1" x14ac:dyDescent="0.25">
      <c r="A7" s="1"/>
      <c r="B7" s="3"/>
      <c r="C7" s="85"/>
      <c r="D7" s="85"/>
      <c r="E7" s="85"/>
      <c r="F7" s="85"/>
      <c r="G7" s="3"/>
    </row>
    <row r="8" spans="1:7" ht="15.75" x14ac:dyDescent="0.25">
      <c r="A8" s="1"/>
      <c r="B8" s="4"/>
      <c r="C8" s="93" t="s">
        <v>233</v>
      </c>
      <c r="D8" s="93"/>
      <c r="E8" s="93"/>
      <c r="F8" s="93"/>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2" t="s">
        <v>5</v>
      </c>
      <c r="D11" s="92"/>
      <c r="E11" s="92"/>
      <c r="F11" s="92"/>
      <c r="G11" s="5"/>
    </row>
    <row r="12" spans="1:7" x14ac:dyDescent="0.25">
      <c r="A12" s="1"/>
      <c r="B12" s="1"/>
      <c r="C12" s="1"/>
      <c r="D12" s="1"/>
      <c r="E12" s="1"/>
      <c r="F12" s="1"/>
      <c r="G12" s="5"/>
    </row>
    <row r="13" spans="1:7" x14ac:dyDescent="0.25">
      <c r="A13" s="1"/>
      <c r="B13" s="6" t="s">
        <v>6</v>
      </c>
      <c r="C13" s="97" t="s">
        <v>127</v>
      </c>
      <c r="D13" s="98"/>
      <c r="E13" s="98"/>
      <c r="F13" s="99"/>
      <c r="G13" s="5"/>
    </row>
    <row r="14" spans="1:7" x14ac:dyDescent="0.25">
      <c r="A14" s="1"/>
      <c r="B14" s="6" t="s">
        <v>16</v>
      </c>
      <c r="C14" s="82" t="s">
        <v>186</v>
      </c>
      <c r="D14" s="83"/>
      <c r="E14" s="83"/>
      <c r="F14" s="84"/>
      <c r="G14" s="5"/>
    </row>
    <row r="15" spans="1:7" x14ac:dyDescent="0.25">
      <c r="A15" s="1"/>
      <c r="B15" s="6" t="s">
        <v>30</v>
      </c>
      <c r="C15" s="82" t="s">
        <v>149</v>
      </c>
      <c r="D15" s="83"/>
      <c r="E15" s="83"/>
      <c r="F15" s="84"/>
      <c r="G15" s="5"/>
    </row>
    <row r="16" spans="1:7" x14ac:dyDescent="0.25">
      <c r="A16" s="1"/>
      <c r="B16" s="6" t="s">
        <v>31</v>
      </c>
      <c r="C16" s="82" t="s">
        <v>151</v>
      </c>
      <c r="D16" s="83"/>
      <c r="E16" s="83"/>
      <c r="F16" s="84"/>
      <c r="G16" s="5"/>
    </row>
    <row r="17" spans="1:8" x14ac:dyDescent="0.25">
      <c r="A17" s="1"/>
      <c r="B17" s="6" t="s">
        <v>61</v>
      </c>
      <c r="C17" s="82" t="s">
        <v>152</v>
      </c>
      <c r="D17" s="83"/>
      <c r="E17" s="83"/>
      <c r="F17" s="84"/>
      <c r="G17" s="5"/>
    </row>
    <row r="18" spans="1:8" x14ac:dyDescent="0.25">
      <c r="A18" s="1"/>
      <c r="B18" s="6" t="s">
        <v>53</v>
      </c>
      <c r="C18" s="94" t="s">
        <v>45</v>
      </c>
      <c r="D18" s="95"/>
      <c r="E18" s="95"/>
      <c r="F18" s="96"/>
      <c r="G18" s="5"/>
    </row>
    <row r="19" spans="1:8" x14ac:dyDescent="0.25">
      <c r="A19" s="1"/>
      <c r="B19" s="6" t="s">
        <v>54</v>
      </c>
      <c r="C19" s="94" t="s">
        <v>46</v>
      </c>
      <c r="D19" s="95"/>
      <c r="E19" s="95"/>
      <c r="F19" s="96"/>
      <c r="G19" s="5"/>
    </row>
    <row r="20" spans="1:8" x14ac:dyDescent="0.25">
      <c r="A20" s="1"/>
      <c r="B20" s="6" t="s">
        <v>7</v>
      </c>
      <c r="C20" s="94" t="s">
        <v>10</v>
      </c>
      <c r="D20" s="95"/>
      <c r="E20" s="95"/>
      <c r="F20" s="96"/>
      <c r="G20" s="5"/>
    </row>
    <row r="21" spans="1:8" x14ac:dyDescent="0.25">
      <c r="A21" s="1"/>
      <c r="B21" s="6" t="s">
        <v>55</v>
      </c>
      <c r="C21" s="86" t="s">
        <v>12</v>
      </c>
      <c r="D21" s="87"/>
      <c r="E21" s="87"/>
      <c r="F21" s="88"/>
      <c r="G21" s="5"/>
    </row>
    <row r="22" spans="1:8" x14ac:dyDescent="0.25">
      <c r="A22" s="1"/>
      <c r="B22" s="6" t="s">
        <v>39</v>
      </c>
      <c r="C22" s="89" t="s">
        <v>153</v>
      </c>
      <c r="D22" s="90"/>
      <c r="E22" s="90"/>
      <c r="F22" s="91"/>
      <c r="G22" s="5"/>
    </row>
    <row r="23" spans="1:8" x14ac:dyDescent="0.25">
      <c r="A23" s="1"/>
      <c r="B23" s="6" t="s">
        <v>8</v>
      </c>
      <c r="C23" s="89" t="s">
        <v>112</v>
      </c>
      <c r="D23" s="90"/>
      <c r="E23" s="90"/>
      <c r="F23" s="91"/>
      <c r="G23" s="5"/>
    </row>
    <row r="24" spans="1:8" x14ac:dyDescent="0.25">
      <c r="A24" s="1"/>
      <c r="B24" s="6" t="s">
        <v>9</v>
      </c>
      <c r="C24" s="89" t="s">
        <v>154</v>
      </c>
      <c r="D24" s="90"/>
      <c r="E24" s="90"/>
      <c r="F24" s="91"/>
      <c r="G24" s="5"/>
    </row>
    <row r="25" spans="1:8" x14ac:dyDescent="0.25">
      <c r="A25" s="1"/>
      <c r="B25" s="6" t="s">
        <v>97</v>
      </c>
      <c r="C25" s="89" t="s">
        <v>91</v>
      </c>
      <c r="D25" s="90"/>
      <c r="E25" s="90"/>
      <c r="F25" s="91"/>
      <c r="G25" s="1"/>
    </row>
    <row r="26" spans="1:8" x14ac:dyDescent="0.25">
      <c r="A26" s="1"/>
      <c r="B26" s="6" t="s">
        <v>98</v>
      </c>
      <c r="C26" s="89" t="s">
        <v>40</v>
      </c>
      <c r="D26" s="90"/>
      <c r="E26" s="90"/>
      <c r="F26" s="91"/>
      <c r="G26" s="1"/>
    </row>
    <row r="27" spans="1:8" x14ac:dyDescent="0.25">
      <c r="A27" s="1"/>
      <c r="B27" s="6" t="s">
        <v>99</v>
      </c>
      <c r="C27" s="89" t="s">
        <v>41</v>
      </c>
      <c r="D27" s="90"/>
      <c r="E27" s="90"/>
      <c r="F27" s="91"/>
      <c r="G27" s="1"/>
    </row>
    <row r="28" spans="1:8" x14ac:dyDescent="0.25">
      <c r="A28" s="1"/>
      <c r="B28" s="6" t="s">
        <v>15</v>
      </c>
      <c r="C28" s="89" t="s">
        <v>42</v>
      </c>
      <c r="D28" s="90"/>
      <c r="E28" s="90"/>
      <c r="F28" s="91"/>
      <c r="G28" s="1"/>
      <c r="H28" s="2" t="s">
        <v>150</v>
      </c>
    </row>
    <row r="29" spans="1:8" x14ac:dyDescent="0.25">
      <c r="A29" s="1"/>
      <c r="B29" s="6" t="s">
        <v>33</v>
      </c>
      <c r="C29" s="89" t="s">
        <v>68</v>
      </c>
      <c r="D29" s="90"/>
      <c r="E29" s="90"/>
      <c r="F29" s="91"/>
      <c r="G29" s="1"/>
    </row>
    <row r="30" spans="1:8" x14ac:dyDescent="0.25">
      <c r="A30" s="1"/>
      <c r="B30" s="6" t="s">
        <v>34</v>
      </c>
      <c r="C30" s="89" t="s">
        <v>32</v>
      </c>
      <c r="D30" s="90"/>
      <c r="E30" s="90"/>
      <c r="F30" s="91"/>
      <c r="G30" s="1"/>
    </row>
    <row r="31" spans="1:8" x14ac:dyDescent="0.25">
      <c r="A31" s="1"/>
      <c r="B31" s="6" t="s">
        <v>100</v>
      </c>
      <c r="C31" s="100" t="s">
        <v>52</v>
      </c>
      <c r="D31" s="101"/>
      <c r="E31" s="101"/>
      <c r="F31" s="102"/>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wXuCWKzwcQv0+9mt59fgwMTlBRYBp5v++YcXFSZoXFUQ7Ubf/bXWncEsbvw7KN8WwS6jzyluC1bBXlYPcc3AGg==" saltValue="OQrd87WnjpxyeysKdyYZlw==" spinCount="100000" sheet="1" objects="1" scenarios="1"/>
  <mergeCells count="22">
    <mergeCell ref="C30:F30"/>
    <mergeCell ref="C31:F31"/>
    <mergeCell ref="C18:F18"/>
    <mergeCell ref="C25:F25"/>
    <mergeCell ref="C26:F26"/>
    <mergeCell ref="C29:F29"/>
    <mergeCell ref="C27:F27"/>
    <mergeCell ref="C28:F28"/>
    <mergeCell ref="C24:F24"/>
    <mergeCell ref="C23:F23"/>
    <mergeCell ref="C14:F14"/>
    <mergeCell ref="C6:F7"/>
    <mergeCell ref="C21:F21"/>
    <mergeCell ref="C22:F22"/>
    <mergeCell ref="C11:F11"/>
    <mergeCell ref="C8:F8"/>
    <mergeCell ref="C15:F15"/>
    <mergeCell ref="C16:F16"/>
    <mergeCell ref="C19:F19"/>
    <mergeCell ref="C13:F13"/>
    <mergeCell ref="C17:F17"/>
    <mergeCell ref="C20:F20"/>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58</v>
      </c>
      <c r="C3" s="103"/>
      <c r="D3" s="103"/>
      <c r="E3" s="1"/>
    </row>
    <row r="4" spans="1:5" ht="15" customHeight="1" x14ac:dyDescent="0.25">
      <c r="A4" s="1"/>
      <c r="B4" s="103"/>
      <c r="C4" s="103"/>
      <c r="D4" s="10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7" t="s">
        <v>165</v>
      </c>
      <c r="C8" s="108"/>
      <c r="D8" s="109"/>
      <c r="E8" s="1"/>
    </row>
    <row r="9" spans="1:5" ht="15" customHeight="1" x14ac:dyDescent="0.25">
      <c r="A9" s="1"/>
      <c r="B9" s="27" t="s">
        <v>28</v>
      </c>
      <c r="C9" s="67" t="s">
        <v>166</v>
      </c>
      <c r="D9" s="11"/>
      <c r="E9" s="1"/>
    </row>
    <row r="10" spans="1:5" ht="15" customHeight="1" x14ac:dyDescent="0.25">
      <c r="A10" s="1"/>
      <c r="B10" s="71" t="s">
        <v>228</v>
      </c>
      <c r="C10" s="72">
        <v>1711815</v>
      </c>
      <c r="D10" s="14" t="s">
        <v>3</v>
      </c>
      <c r="E10" s="1"/>
    </row>
    <row r="11" spans="1:5" ht="15" customHeight="1" x14ac:dyDescent="0.25">
      <c r="A11" s="1"/>
      <c r="B11" s="71" t="s">
        <v>229</v>
      </c>
      <c r="C11" s="72">
        <v>94103</v>
      </c>
      <c r="D11" s="14" t="s">
        <v>3</v>
      </c>
      <c r="E11" s="1"/>
    </row>
    <row r="12" spans="1:5" ht="25.5" x14ac:dyDescent="0.25">
      <c r="A12" s="1"/>
      <c r="B12" s="71" t="s">
        <v>230</v>
      </c>
      <c r="C12" s="72">
        <v>94827</v>
      </c>
      <c r="D12" s="14" t="s">
        <v>3</v>
      </c>
      <c r="E12" s="1"/>
    </row>
    <row r="13" spans="1:5" x14ac:dyDescent="0.25">
      <c r="A13" s="1"/>
      <c r="B13" s="71" t="s">
        <v>231</v>
      </c>
      <c r="C13" s="72">
        <v>619313</v>
      </c>
      <c r="D13" s="14" t="s">
        <v>3</v>
      </c>
      <c r="E13" s="1"/>
    </row>
    <row r="14" spans="1:5" x14ac:dyDescent="0.25">
      <c r="A14" s="1"/>
      <c r="B14" s="71" t="s">
        <v>232</v>
      </c>
      <c r="C14" s="72">
        <v>19046</v>
      </c>
      <c r="D14" s="14" t="s">
        <v>3</v>
      </c>
      <c r="E14" s="1"/>
    </row>
    <row r="15" spans="1:5" x14ac:dyDescent="0.25">
      <c r="A15" s="1"/>
      <c r="B15" s="71"/>
      <c r="C15" s="72"/>
      <c r="D15" s="14" t="s">
        <v>3</v>
      </c>
      <c r="E15" s="1"/>
    </row>
    <row r="16" spans="1:5" x14ac:dyDescent="0.25">
      <c r="A16" s="1"/>
      <c r="B16" s="71"/>
      <c r="C16" s="72"/>
      <c r="D16" s="14" t="s">
        <v>3</v>
      </c>
      <c r="E16" s="1"/>
    </row>
    <row r="17" spans="1:5" x14ac:dyDescent="0.25">
      <c r="A17" s="1"/>
      <c r="B17" s="71"/>
      <c r="C17" s="72"/>
      <c r="D17" s="14" t="s">
        <v>3</v>
      </c>
      <c r="E17" s="1"/>
    </row>
    <row r="18" spans="1:5" x14ac:dyDescent="0.25">
      <c r="A18" s="1"/>
      <c r="B18" s="71"/>
      <c r="C18" s="72"/>
      <c r="D18" s="14" t="s">
        <v>3</v>
      </c>
      <c r="E18" s="1"/>
    </row>
    <row r="19" spans="1:5" x14ac:dyDescent="0.25">
      <c r="A19" s="1"/>
      <c r="B19" s="71"/>
      <c r="C19" s="72"/>
      <c r="D19" s="14" t="s">
        <v>3</v>
      </c>
      <c r="E19" s="1"/>
    </row>
    <row r="20" spans="1:5" x14ac:dyDescent="0.25">
      <c r="A20" s="1"/>
      <c r="B20" s="33" t="s">
        <v>167</v>
      </c>
      <c r="C20" s="12">
        <f>SUM(C10:C19)</f>
        <v>2539104</v>
      </c>
      <c r="D20" s="13" t="s">
        <v>3</v>
      </c>
      <c r="E20" s="1"/>
    </row>
    <row r="21" spans="1:5" x14ac:dyDescent="0.25">
      <c r="A21" s="1"/>
      <c r="B21" s="33" t="s">
        <v>168</v>
      </c>
      <c r="C21" s="12">
        <f>C20*(1+'Fane 15. Nøgletal'!C10)^2</f>
        <v>2886950.30446176</v>
      </c>
      <c r="D21" s="13" t="s">
        <v>3</v>
      </c>
      <c r="E21" s="1"/>
    </row>
    <row r="22" spans="1:5" x14ac:dyDescent="0.25">
      <c r="A22" s="1"/>
      <c r="B22" s="16"/>
      <c r="C22" s="15"/>
      <c r="D22" s="15"/>
      <c r="E22" s="1"/>
    </row>
    <row r="23" spans="1:5" x14ac:dyDescent="0.25">
      <c r="A23" s="1"/>
      <c r="B23" s="16"/>
      <c r="C23" s="15"/>
      <c r="D23" s="15"/>
      <c r="E23" s="1"/>
    </row>
    <row r="24" spans="1:5" x14ac:dyDescent="0.25">
      <c r="A24" s="1"/>
      <c r="B24" s="107" t="s">
        <v>60</v>
      </c>
      <c r="C24" s="108"/>
      <c r="D24" s="109"/>
      <c r="E24" s="1"/>
    </row>
    <row r="25" spans="1:5" x14ac:dyDescent="0.25">
      <c r="A25" s="1"/>
      <c r="B25" s="37" t="s">
        <v>72</v>
      </c>
      <c r="C25" s="9">
        <v>157230</v>
      </c>
      <c r="D25" s="14" t="s">
        <v>3</v>
      </c>
      <c r="E25" s="1"/>
    </row>
    <row r="26" spans="1:5" x14ac:dyDescent="0.25">
      <c r="A26" s="1"/>
      <c r="B26" s="37" t="s">
        <v>83</v>
      </c>
      <c r="C26" s="9">
        <v>157230</v>
      </c>
      <c r="D26" s="14" t="s">
        <v>3</v>
      </c>
      <c r="E26" s="1"/>
    </row>
    <row r="27" spans="1:5" x14ac:dyDescent="0.25">
      <c r="A27" s="1"/>
      <c r="B27" s="37" t="s">
        <v>148</v>
      </c>
      <c r="C27" s="9">
        <v>157230</v>
      </c>
      <c r="D27" s="14" t="s">
        <v>3</v>
      </c>
      <c r="E27" s="1"/>
    </row>
    <row r="28" spans="1:5" x14ac:dyDescent="0.25">
      <c r="A28" s="1"/>
      <c r="B28" s="34" t="s">
        <v>169</v>
      </c>
      <c r="C28" s="9">
        <v>157230</v>
      </c>
      <c r="D28" s="36" t="s">
        <v>3</v>
      </c>
      <c r="E28" s="1"/>
    </row>
    <row r="29" spans="1:5" x14ac:dyDescent="0.25">
      <c r="A29" s="1"/>
      <c r="B29" s="107"/>
      <c r="C29" s="108"/>
      <c r="D29" s="109"/>
      <c r="E29" s="1"/>
    </row>
    <row r="30" spans="1:5" x14ac:dyDescent="0.25">
      <c r="A30" s="1"/>
      <c r="B30" s="1"/>
      <c r="C30" s="1"/>
      <c r="D30" s="1"/>
      <c r="E30" s="1"/>
    </row>
    <row r="31" spans="1:5" x14ac:dyDescent="0.25">
      <c r="A31" s="1"/>
      <c r="B31" s="1"/>
      <c r="C31" s="1"/>
      <c r="D31" s="1"/>
      <c r="E31" s="1"/>
    </row>
    <row r="32" spans="1:5" x14ac:dyDescent="0.25">
      <c r="A32" s="1"/>
      <c r="B32" s="107" t="s">
        <v>47</v>
      </c>
      <c r="C32" s="108"/>
      <c r="D32" s="109"/>
      <c r="E32" s="1"/>
    </row>
    <row r="33" spans="1:5" x14ac:dyDescent="0.25">
      <c r="A33" s="1"/>
      <c r="B33" s="37" t="s">
        <v>72</v>
      </c>
      <c r="C33" s="9">
        <v>0</v>
      </c>
      <c r="D33" s="14" t="s">
        <v>3</v>
      </c>
      <c r="E33" s="1"/>
    </row>
    <row r="34" spans="1:5" x14ac:dyDescent="0.25">
      <c r="A34" s="1"/>
      <c r="B34" s="37" t="s">
        <v>83</v>
      </c>
      <c r="C34" s="9">
        <v>0</v>
      </c>
      <c r="D34" s="14" t="s">
        <v>3</v>
      </c>
      <c r="E34" s="1"/>
    </row>
    <row r="35" spans="1:5" x14ac:dyDescent="0.25">
      <c r="A35" s="1"/>
      <c r="B35" s="37" t="s">
        <v>148</v>
      </c>
      <c r="C35" s="9">
        <v>0</v>
      </c>
      <c r="D35" s="14" t="s">
        <v>3</v>
      </c>
      <c r="E35" s="1"/>
    </row>
    <row r="36" spans="1:5" x14ac:dyDescent="0.25">
      <c r="A36" s="1"/>
      <c r="B36" s="34" t="s">
        <v>169</v>
      </c>
      <c r="C36" s="9">
        <v>0</v>
      </c>
      <c r="D36" s="36" t="s">
        <v>3</v>
      </c>
      <c r="E36" s="1"/>
    </row>
    <row r="37" spans="1:5" x14ac:dyDescent="0.25">
      <c r="A37" s="1"/>
      <c r="B37" s="107"/>
      <c r="C37" s="108"/>
      <c r="D37" s="109"/>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r+rLlGlLJ/o/SwWCaDx+B78SubXh694eNJD1aID6KO0YJe/Yh7JQ6gIjyEkOi3TCi+rujIUDX+JFF+SgsNTc5w==" saltValue="NRyVOfvSfcs2+qZH65adxw=="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201</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4"/>
      <c r="C6" s="74"/>
      <c r="D6" s="74"/>
      <c r="E6" s="1"/>
    </row>
    <row r="7" spans="1:5" x14ac:dyDescent="0.25">
      <c r="A7" s="1"/>
      <c r="B7" s="1"/>
      <c r="C7" s="1"/>
      <c r="D7" s="1"/>
      <c r="E7" s="1"/>
    </row>
    <row r="8" spans="1:5" x14ac:dyDescent="0.25">
      <c r="A8" s="1"/>
      <c r="B8" s="107" t="s">
        <v>77</v>
      </c>
      <c r="C8" s="108"/>
      <c r="D8" s="109"/>
      <c r="E8" s="1"/>
    </row>
    <row r="9" spans="1:5" x14ac:dyDescent="0.25">
      <c r="A9" s="1"/>
      <c r="B9" s="65" t="s">
        <v>204</v>
      </c>
      <c r="C9" s="9">
        <v>-1659613.3999798596</v>
      </c>
      <c r="D9" s="14" t="s">
        <v>3</v>
      </c>
      <c r="E9" s="1"/>
    </row>
    <row r="10" spans="1:5" x14ac:dyDescent="0.25">
      <c r="A10" s="1"/>
      <c r="B10" s="33"/>
      <c r="C10" s="28"/>
      <c r="D10" s="19"/>
      <c r="E10" s="1"/>
    </row>
    <row r="11" spans="1:5" ht="53.25" customHeight="1" x14ac:dyDescent="0.25">
      <c r="A11" s="1"/>
      <c r="B11" s="118" t="s">
        <v>212</v>
      </c>
      <c r="C11" s="119"/>
      <c r="D11" s="120"/>
      <c r="E11" s="1"/>
    </row>
    <row r="12" spans="1:5" x14ac:dyDescent="0.25">
      <c r="A12" s="1"/>
      <c r="B12" s="1"/>
      <c r="C12" s="1"/>
      <c r="D12" s="1"/>
      <c r="E12" s="1"/>
    </row>
    <row r="13" spans="1:5" x14ac:dyDescent="0.25">
      <c r="A13" s="1"/>
      <c r="B13" s="107" t="s">
        <v>78</v>
      </c>
      <c r="C13" s="108"/>
      <c r="D13" s="109"/>
      <c r="E13" s="1"/>
    </row>
    <row r="14" spans="1:5" x14ac:dyDescent="0.25">
      <c r="A14" s="1"/>
      <c r="B14" s="65" t="s">
        <v>202</v>
      </c>
      <c r="C14" s="9">
        <v>-4292082.0466419831</v>
      </c>
      <c r="D14" s="14" t="s">
        <v>3</v>
      </c>
      <c r="E14" s="1"/>
    </row>
    <row r="15" spans="1:5" x14ac:dyDescent="0.25">
      <c r="A15" s="1"/>
      <c r="B15" s="65" t="s">
        <v>203</v>
      </c>
      <c r="C15" s="9">
        <v>-4292082.0466419831</v>
      </c>
      <c r="D15" s="14" t="s">
        <v>3</v>
      </c>
      <c r="E15" s="1"/>
    </row>
    <row r="16" spans="1:5" x14ac:dyDescent="0.25">
      <c r="A16" s="1"/>
      <c r="B16" s="33"/>
      <c r="C16" s="28"/>
      <c r="D16" s="19"/>
      <c r="E16" s="1"/>
    </row>
    <row r="17" spans="1:5" ht="29.25" customHeight="1" x14ac:dyDescent="0.25">
      <c r="A17" s="1"/>
      <c r="B17" s="118" t="s">
        <v>121</v>
      </c>
      <c r="C17" s="119"/>
      <c r="D17" s="120"/>
      <c r="E17" s="1"/>
    </row>
    <row r="18" spans="1:5" x14ac:dyDescent="0.25">
      <c r="A18" s="1"/>
      <c r="B18" s="1"/>
      <c r="C18" s="1"/>
      <c r="D18" s="1"/>
      <c r="E18" s="1"/>
    </row>
    <row r="19" spans="1:5" x14ac:dyDescent="0.25">
      <c r="A19" s="1"/>
      <c r="B19" s="75" t="s">
        <v>205</v>
      </c>
      <c r="C19" s="76"/>
      <c r="D19" s="77"/>
      <c r="E19" s="1"/>
    </row>
    <row r="20" spans="1:5" x14ac:dyDescent="0.25">
      <c r="A20" s="1"/>
      <c r="B20" s="65" t="s">
        <v>206</v>
      </c>
      <c r="C20" s="9">
        <v>94923244.193398312</v>
      </c>
      <c r="D20" s="14" t="s">
        <v>3</v>
      </c>
      <c r="E20" s="1"/>
    </row>
    <row r="21" spans="1:5" x14ac:dyDescent="0.25">
      <c r="A21" s="1"/>
      <c r="B21" s="65" t="s">
        <v>207</v>
      </c>
      <c r="C21" s="9">
        <v>98929518</v>
      </c>
      <c r="D21" s="14" t="s">
        <v>3</v>
      </c>
      <c r="E21" s="1"/>
    </row>
    <row r="22" spans="1:5" x14ac:dyDescent="0.25">
      <c r="A22" s="1"/>
      <c r="B22" s="65" t="s">
        <v>29</v>
      </c>
      <c r="C22" s="9">
        <v>0</v>
      </c>
      <c r="D22" s="14" t="s">
        <v>3</v>
      </c>
      <c r="E22" s="1"/>
    </row>
    <row r="23" spans="1:5" x14ac:dyDescent="0.25">
      <c r="A23" s="1"/>
      <c r="B23" s="81" t="s">
        <v>208</v>
      </c>
      <c r="C23" s="57">
        <f>C20-C21-C22</f>
        <v>-4006273.8066016883</v>
      </c>
      <c r="D23" s="17" t="s">
        <v>3</v>
      </c>
      <c r="E23" s="1"/>
    </row>
    <row r="24" spans="1:5" x14ac:dyDescent="0.25">
      <c r="A24" s="1"/>
      <c r="B24" s="33"/>
      <c r="C24" s="28"/>
      <c r="D24" s="19"/>
      <c r="E24" s="1"/>
    </row>
    <row r="25" spans="1:5" x14ac:dyDescent="0.25">
      <c r="A25" s="1"/>
      <c r="B25" s="1"/>
      <c r="C25" s="1"/>
      <c r="D25" s="1"/>
      <c r="E25" s="1"/>
    </row>
    <row r="26" spans="1:5" x14ac:dyDescent="0.25">
      <c r="A26" s="1"/>
      <c r="B26" s="107" t="s">
        <v>209</v>
      </c>
      <c r="C26" s="108"/>
      <c r="D26" s="109"/>
      <c r="E26" s="1"/>
    </row>
    <row r="27" spans="1:5" x14ac:dyDescent="0.25">
      <c r="A27" s="1"/>
      <c r="B27" s="81" t="s">
        <v>210</v>
      </c>
      <c r="C27" s="57">
        <f>IF(AND(C15&lt;0,C23&gt;0,ABS(SUM(C14:C15))&lt;C23),ABS(C14),IF(AND(C15&lt;0,C23&gt;0,ABS(SUM(C14:C15))&gt;C23),SUM(C14,C23),C15))</f>
        <v>-4292082.0466419831</v>
      </c>
      <c r="D27" s="17" t="s">
        <v>3</v>
      </c>
      <c r="E27" s="1"/>
    </row>
    <row r="28" spans="1:5" x14ac:dyDescent="0.25">
      <c r="A28" s="1"/>
      <c r="B28" s="107"/>
      <c r="C28" s="108"/>
      <c r="D28" s="109"/>
      <c r="E28" s="1"/>
    </row>
    <row r="29" spans="1:5" x14ac:dyDescent="0.25">
      <c r="A29" s="1"/>
      <c r="B29" s="1"/>
      <c r="C29" s="1"/>
      <c r="D29" s="1"/>
      <c r="E29" s="1"/>
    </row>
    <row r="30" spans="1:5" x14ac:dyDescent="0.25">
      <c r="A30" s="1"/>
      <c r="B30" s="107" t="s">
        <v>211</v>
      </c>
      <c r="C30" s="108"/>
      <c r="D30" s="109"/>
      <c r="E30" s="1"/>
    </row>
    <row r="31" spans="1:5" x14ac:dyDescent="0.25">
      <c r="A31" s="1"/>
      <c r="B31" s="66" t="s">
        <v>69</v>
      </c>
      <c r="C31" s="58">
        <f>IF(AND(C9&gt;0,(C9+C23)&gt;0),0,IF(AND(C9&gt;0,(C9+C23)&lt;0),(C9+C23),IF(AND(C9&lt;0,C23&lt;0),C23,0)))</f>
        <v>-4006273.8066016883</v>
      </c>
      <c r="D31" s="14" t="s">
        <v>3</v>
      </c>
      <c r="E31" s="1"/>
    </row>
    <row r="32" spans="1:5" x14ac:dyDescent="0.25">
      <c r="A32" s="1"/>
      <c r="B32" s="66" t="s">
        <v>49</v>
      </c>
      <c r="C32" s="9">
        <v>2</v>
      </c>
      <c r="D32" s="14" t="s">
        <v>20</v>
      </c>
      <c r="E32" s="1"/>
    </row>
    <row r="33" spans="1:5" x14ac:dyDescent="0.25">
      <c r="A33" s="1"/>
      <c r="B33" s="67" t="s">
        <v>70</v>
      </c>
      <c r="C33" s="57">
        <f>C31/C32</f>
        <v>-2003136.9033008441</v>
      </c>
      <c r="D33" s="17" t="s">
        <v>3</v>
      </c>
      <c r="E33" s="1"/>
    </row>
    <row r="34" spans="1:5" x14ac:dyDescent="0.25">
      <c r="A34" s="1"/>
      <c r="B34" s="115"/>
      <c r="C34" s="116"/>
      <c r="D34" s="117"/>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v4Jilpk0bpJ5zbLqzUyBYEL/k0of97GtUrRFYnMUC+wWqMFt52e0Cl7n4chIc5n+FmTNIZMKj4pac5MjuDKe2g==" saltValue="yXMpe6YEeg/Z6YEA45V4LA=="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6" t="s">
        <v>101</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x14ac:dyDescent="0.25">
      <c r="A8" s="1"/>
      <c r="B8" s="107" t="s">
        <v>120</v>
      </c>
      <c r="C8" s="108"/>
      <c r="D8" s="109"/>
      <c r="E8" s="1"/>
    </row>
    <row r="9" spans="1:5" ht="15" customHeight="1" x14ac:dyDescent="0.25">
      <c r="A9" s="1"/>
      <c r="B9" s="121" t="s">
        <v>102</v>
      </c>
      <c r="C9" s="122"/>
      <c r="D9" s="123"/>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5"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piYP2eVUFDpZtKTou8RULHtk18hQTRiCG/ok5nHdmCkNoP231ZaJYelBsQibVmHnZ715+Q3NJG/a/xb7cdFX0w==" saltValue="r6rr7lzKpd0L8U2HOkqg8w=="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170</v>
      </c>
      <c r="C3" s="106"/>
      <c r="D3" s="106"/>
      <c r="E3" s="1"/>
    </row>
    <row r="4" spans="1:5" ht="15" customHeight="1" x14ac:dyDescent="0.25">
      <c r="A4" s="1"/>
      <c r="B4" s="106"/>
      <c r="C4" s="106"/>
      <c r="D4" s="106"/>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7" t="s">
        <v>171</v>
      </c>
      <c r="C8" s="108"/>
      <c r="D8" s="109"/>
      <c r="E8" s="1"/>
    </row>
    <row r="9" spans="1:5" ht="26.25" x14ac:dyDescent="0.25">
      <c r="A9" s="1"/>
      <c r="B9" s="78" t="s">
        <v>217</v>
      </c>
      <c r="C9" s="7"/>
      <c r="D9" s="8" t="s">
        <v>3</v>
      </c>
      <c r="E9" s="1"/>
    </row>
    <row r="10" spans="1:5" ht="14.25" customHeight="1" x14ac:dyDescent="0.25">
      <c r="A10" s="1"/>
      <c r="B10" s="65" t="s">
        <v>172</v>
      </c>
      <c r="C10" s="7"/>
      <c r="D10" s="8" t="s">
        <v>3</v>
      </c>
      <c r="E10" s="1"/>
    </row>
    <row r="11" spans="1:5" ht="14.25" customHeight="1" x14ac:dyDescent="0.25">
      <c r="A11" s="1"/>
      <c r="B11" s="81" t="s">
        <v>48</v>
      </c>
      <c r="C11" s="10">
        <f>C10-C9</f>
        <v>0</v>
      </c>
      <c r="D11" s="11" t="s">
        <v>3</v>
      </c>
      <c r="E11" s="1"/>
    </row>
    <row r="12" spans="1:5" ht="14.25" customHeight="1" x14ac:dyDescent="0.25">
      <c r="A12" s="1"/>
      <c r="B12" s="107" t="s">
        <v>219</v>
      </c>
      <c r="C12" s="108"/>
      <c r="D12" s="109"/>
      <c r="E12" s="1"/>
    </row>
    <row r="13" spans="1:5" ht="26.25" x14ac:dyDescent="0.25">
      <c r="A13" s="1"/>
      <c r="B13" s="78" t="s">
        <v>218</v>
      </c>
      <c r="C13" s="7">
        <v>157230</v>
      </c>
      <c r="D13" s="8" t="s">
        <v>3</v>
      </c>
      <c r="E13" s="1"/>
    </row>
    <row r="14" spans="1:5" ht="14.25" customHeight="1" x14ac:dyDescent="0.25">
      <c r="A14" s="1"/>
      <c r="B14" s="65" t="s">
        <v>173</v>
      </c>
      <c r="C14" s="7">
        <v>110402</v>
      </c>
      <c r="D14" s="8" t="s">
        <v>3</v>
      </c>
      <c r="E14" s="1"/>
    </row>
    <row r="15" spans="1:5" ht="14.25" customHeight="1" x14ac:dyDescent="0.25">
      <c r="A15" s="1"/>
      <c r="B15" s="81" t="s">
        <v>48</v>
      </c>
      <c r="C15" s="10">
        <f>C14-C13</f>
        <v>-46828</v>
      </c>
      <c r="D15" s="11" t="s">
        <v>3</v>
      </c>
      <c r="E15" s="1"/>
    </row>
    <row r="16" spans="1:5" ht="14.25" customHeight="1" x14ac:dyDescent="0.25">
      <c r="A16" s="1"/>
      <c r="B16" s="33" t="s">
        <v>174</v>
      </c>
      <c r="C16" s="12">
        <f>C11+C15</f>
        <v>-46828</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d4wANMVIdjx0t1G0bWmha5Wu+Gy1BjxDt0vcSRPEpIGU5np1yOjmf8BImjcTSwj0tNTJ+ytjmJ5a+AkHWM9ZQg==" saltValue="ZbnlyrgYZNCYmY3VUtQIIg=="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3" t="s">
        <v>113</v>
      </c>
      <c r="C3" s="103"/>
      <c r="D3" s="103"/>
      <c r="E3" s="103"/>
      <c r="F3" s="103"/>
      <c r="G3" s="103"/>
      <c r="H3" s="103"/>
      <c r="I3" s="103"/>
      <c r="J3" s="103"/>
      <c r="K3" s="103"/>
      <c r="L3" s="1"/>
    </row>
    <row r="4" spans="1:12" ht="15" customHeight="1" x14ac:dyDescent="0.25">
      <c r="A4" s="1"/>
      <c r="B4" s="103"/>
      <c r="C4" s="103"/>
      <c r="D4" s="103"/>
      <c r="E4" s="103"/>
      <c r="F4" s="103"/>
      <c r="G4" s="103"/>
      <c r="H4" s="103"/>
      <c r="I4" s="103"/>
      <c r="J4" s="103"/>
      <c r="K4" s="103"/>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7" t="s">
        <v>86</v>
      </c>
      <c r="C8" s="108"/>
      <c r="D8" s="108"/>
      <c r="E8" s="108"/>
      <c r="F8" s="108"/>
      <c r="G8" s="108"/>
      <c r="H8" s="108"/>
      <c r="I8" s="108"/>
      <c r="J8" s="108"/>
      <c r="K8" s="109"/>
      <c r="L8" s="1"/>
    </row>
    <row r="9" spans="1:12" ht="39.75" customHeight="1" x14ac:dyDescent="0.25">
      <c r="A9" s="1"/>
      <c r="B9" s="18" t="s">
        <v>0</v>
      </c>
      <c r="C9" s="18" t="s">
        <v>1</v>
      </c>
      <c r="D9" s="124" t="s">
        <v>96</v>
      </c>
      <c r="E9" s="125"/>
      <c r="F9" s="124" t="s">
        <v>2</v>
      </c>
      <c r="G9" s="125"/>
      <c r="H9" s="124" t="s">
        <v>95</v>
      </c>
      <c r="I9" s="125"/>
      <c r="J9" s="124" t="s">
        <v>26</v>
      </c>
      <c r="K9" s="125"/>
      <c r="L9" s="1"/>
    </row>
    <row r="10" spans="1:12" x14ac:dyDescent="0.25">
      <c r="A10" s="1"/>
      <c r="B10" s="68" t="s">
        <v>224</v>
      </c>
      <c r="C10" s="42">
        <v>0</v>
      </c>
      <c r="D10" s="9">
        <v>0</v>
      </c>
      <c r="E10" s="14" t="s">
        <v>3</v>
      </c>
      <c r="F10" s="9">
        <f>IFERROR(D10/C10,0)</f>
        <v>0</v>
      </c>
      <c r="G10" s="14" t="s">
        <v>3</v>
      </c>
      <c r="H10" s="38">
        <v>0</v>
      </c>
      <c r="I10" s="14" t="s">
        <v>3</v>
      </c>
      <c r="J10" s="38">
        <v>0</v>
      </c>
      <c r="K10" s="14" t="s">
        <v>3</v>
      </c>
      <c r="L10" s="1"/>
    </row>
    <row r="11" spans="1:12" x14ac:dyDescent="0.25">
      <c r="A11" s="1"/>
      <c r="B11" s="75" t="s">
        <v>221</v>
      </c>
      <c r="C11" s="76"/>
      <c r="D11" s="77"/>
      <c r="E11" s="77"/>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0G6Lz3ImMxRK+wF0S3RuchtSQGxOUrXLOw6BJlBt0JuwCh+AMpx6BSajPbY8YsaUuU1EfZ0AWDjanhLrAOxGzQ==" saltValue="cydo5S7BP39msMWHSJsNOA=="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3" t="s">
        <v>114</v>
      </c>
      <c r="C3" s="103"/>
      <c r="D3" s="103"/>
      <c r="E3" s="103"/>
      <c r="F3" s="103"/>
      <c r="G3" s="1"/>
    </row>
    <row r="4" spans="1:7" ht="15" customHeight="1" x14ac:dyDescent="0.25">
      <c r="A4" s="1"/>
      <c r="B4" s="103"/>
      <c r="C4" s="103"/>
      <c r="D4" s="103"/>
      <c r="E4" s="103"/>
      <c r="F4" s="10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79" t="s">
        <v>17</v>
      </c>
      <c r="C9" s="81" t="s">
        <v>11</v>
      </c>
      <c r="D9" s="80"/>
      <c r="E9" s="81"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234</v>
      </c>
      <c r="C11" s="21">
        <v>166581</v>
      </c>
      <c r="D11" s="14" t="s">
        <v>3</v>
      </c>
      <c r="E11" s="9">
        <v>355680</v>
      </c>
      <c r="F11" s="14" t="s">
        <v>3</v>
      </c>
      <c r="G11" s="1"/>
    </row>
    <row r="12" spans="1:7" x14ac:dyDescent="0.25">
      <c r="A12" s="1"/>
      <c r="B12" s="24" t="s">
        <v>235</v>
      </c>
      <c r="C12" s="21">
        <v>20302</v>
      </c>
      <c r="D12" s="14" t="s">
        <v>3</v>
      </c>
      <c r="E12" s="9">
        <v>40265</v>
      </c>
      <c r="F12" s="14" t="s">
        <v>3</v>
      </c>
      <c r="G12" s="1"/>
    </row>
    <row r="13" spans="1:7" x14ac:dyDescent="0.25">
      <c r="A13" s="1"/>
      <c r="B13" s="24" t="s">
        <v>236</v>
      </c>
      <c r="C13" s="21">
        <v>10283</v>
      </c>
      <c r="D13" s="14" t="s">
        <v>3</v>
      </c>
      <c r="E13" s="9">
        <v>30759</v>
      </c>
      <c r="F13" s="14" t="s">
        <v>3</v>
      </c>
      <c r="G13" s="1"/>
    </row>
    <row r="14" spans="1:7" x14ac:dyDescent="0.25">
      <c r="A14" s="1"/>
      <c r="B14" s="24" t="s">
        <v>237</v>
      </c>
      <c r="C14" s="21">
        <v>157830</v>
      </c>
      <c r="D14" s="14" t="s">
        <v>3</v>
      </c>
      <c r="E14" s="9">
        <v>1055765</v>
      </c>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354996</v>
      </c>
      <c r="D19" s="13" t="s">
        <v>3</v>
      </c>
      <c r="E19" s="12">
        <f>SUM(E10:E18)</f>
        <v>1482469</v>
      </c>
      <c r="F19" s="13" t="s">
        <v>3</v>
      </c>
      <c r="G19" s="1"/>
    </row>
    <row r="20" spans="1:7" x14ac:dyDescent="0.25">
      <c r="A20" s="1"/>
      <c r="B20" s="33" t="s">
        <v>175</v>
      </c>
      <c r="C20" s="12">
        <f>C19*(1+'Fane 15. Nøgletal'!C10)</f>
        <v>378532.23480000003</v>
      </c>
      <c r="D20" s="13" t="s">
        <v>3</v>
      </c>
      <c r="E20" s="12">
        <f>E19*(1+'Fane 15. Nøgletal'!C10)</f>
        <v>1580756.6947000001</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OXyE4tL7ZH+t4kdhH4u2hOnFSQTDtfwAABh5ytqqG2rwcHJGI+D+bQtskEEGHt5YVvaGDAcuUtzbajHDezP1aw==" saltValue="d3wmXxjqu5CpL+czqMvz6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3" t="s">
        <v>115</v>
      </c>
      <c r="C3" s="103"/>
      <c r="D3" s="103"/>
      <c r="E3" s="103"/>
      <c r="F3" s="103"/>
      <c r="G3" s="1"/>
    </row>
    <row r="4" spans="1:7" ht="15" customHeight="1" x14ac:dyDescent="0.25">
      <c r="A4" s="1"/>
      <c r="B4" s="103"/>
      <c r="C4" s="103"/>
      <c r="D4" s="103"/>
      <c r="E4" s="103"/>
      <c r="F4" s="10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7" t="s">
        <v>176</v>
      </c>
      <c r="C8" s="108"/>
      <c r="D8" s="108"/>
      <c r="E8" s="108"/>
      <c r="F8" s="109"/>
      <c r="G8" s="1"/>
    </row>
    <row r="9" spans="1:7" x14ac:dyDescent="0.25">
      <c r="A9" s="1"/>
      <c r="B9" s="79" t="s">
        <v>17</v>
      </c>
      <c r="C9" s="81" t="s">
        <v>11</v>
      </c>
      <c r="D9" s="80"/>
      <c r="E9" s="81" t="s">
        <v>27</v>
      </c>
      <c r="F9" s="32"/>
      <c r="G9" s="1"/>
    </row>
    <row r="10" spans="1:7" x14ac:dyDescent="0.25">
      <c r="A10" s="1"/>
      <c r="B10" s="24" t="s">
        <v>238</v>
      </c>
      <c r="C10" s="21"/>
      <c r="D10" s="14" t="s">
        <v>3</v>
      </c>
      <c r="E10" s="9"/>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177</v>
      </c>
      <c r="C13" s="12">
        <f>SUM(C10:C12)</f>
        <v>0</v>
      </c>
      <c r="D13" s="13" t="s">
        <v>3</v>
      </c>
      <c r="E13" s="12">
        <f>SUM(E10:E12)</f>
        <v>0</v>
      </c>
      <c r="F13" s="13" t="s">
        <v>3</v>
      </c>
      <c r="G13" s="1"/>
    </row>
    <row r="14" spans="1:7" x14ac:dyDescent="0.25">
      <c r="A14" s="1"/>
      <c r="B14" s="33" t="s">
        <v>178</v>
      </c>
      <c r="C14" s="12">
        <f>C13*(1+'Fane 15. Nøgletal'!C10)^2</f>
        <v>0</v>
      </c>
      <c r="D14" s="13" t="s">
        <v>3</v>
      </c>
      <c r="E14" s="12">
        <f>E13*(1+'Fane 15. Nøgletal'!C10)^2</f>
        <v>0</v>
      </c>
      <c r="F14" s="13" t="s">
        <v>3</v>
      </c>
      <c r="G14" s="1"/>
    </row>
    <row r="15" spans="1:7" x14ac:dyDescent="0.25">
      <c r="A15" s="1"/>
      <c r="B15" s="1"/>
      <c r="C15" s="1"/>
      <c r="D15" s="1"/>
      <c r="E15" s="1"/>
      <c r="F15" s="1"/>
      <c r="G15" s="1"/>
    </row>
    <row r="16" spans="1:7" x14ac:dyDescent="0.25">
      <c r="A16" s="1"/>
      <c r="B16" s="126"/>
      <c r="C16" s="126"/>
      <c r="D16" s="126"/>
      <c r="E16" s="126"/>
      <c r="F16" s="126"/>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6"/>
      <c r="C29" s="126"/>
      <c r="D29" s="126"/>
      <c r="E29" s="126"/>
      <c r="F29" s="126"/>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8sEnUvywSzBNzK0WG829AGlWjkU6PlLHmtiso0+5HnnYoMEVYU+zUggvN76+AhCcRK3zsHnUGI7g7byEP2Io9A==" saltValue="0uzxGVXExmWlGiZRWWodMg=="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116</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ht="14.25" customHeight="1" x14ac:dyDescent="0.25">
      <c r="A8" s="1"/>
      <c r="B8" s="107" t="s">
        <v>73</v>
      </c>
      <c r="C8" s="108"/>
      <c r="D8" s="109"/>
      <c r="E8" s="1"/>
    </row>
    <row r="9" spans="1:5" x14ac:dyDescent="0.25">
      <c r="A9" s="1"/>
      <c r="B9" s="68" t="s">
        <v>179</v>
      </c>
      <c r="C9" s="9"/>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5" t="s">
        <v>74</v>
      </c>
      <c r="C12" s="12">
        <f>SUM(C9:C11)*(1+'Fane 15. Nøgletal'!C9)^2</f>
        <v>0</v>
      </c>
      <c r="D12" s="13" t="s">
        <v>3</v>
      </c>
      <c r="E12" s="1"/>
    </row>
    <row r="13" spans="1:5" x14ac:dyDescent="0.25">
      <c r="A13" s="1"/>
      <c r="B13" s="1"/>
      <c r="C13" s="1"/>
      <c r="D13" s="1"/>
      <c r="E13" s="1"/>
    </row>
    <row r="14" spans="1:5" ht="15" customHeight="1" x14ac:dyDescent="0.25">
      <c r="A14" s="1"/>
      <c r="B14" s="107" t="s">
        <v>84</v>
      </c>
      <c r="C14" s="108"/>
      <c r="D14" s="109"/>
      <c r="E14" s="1"/>
    </row>
    <row r="15" spans="1:5" x14ac:dyDescent="0.25">
      <c r="A15" s="1"/>
      <c r="B15" s="68" t="s">
        <v>179</v>
      </c>
      <c r="C15" s="9"/>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5" t="s">
        <v>85</v>
      </c>
      <c r="C18" s="12">
        <f>SUM(C15:C17)*(1+'Fane 15. Nøgletal'!C10)^3</f>
        <v>0</v>
      </c>
      <c r="D18" s="13" t="s">
        <v>3</v>
      </c>
      <c r="E18" s="1"/>
    </row>
    <row r="19" spans="1:5" x14ac:dyDescent="0.25">
      <c r="A19" s="1"/>
      <c r="B19" s="1"/>
      <c r="C19" s="1"/>
      <c r="D19" s="1"/>
      <c r="E19" s="1"/>
    </row>
    <row r="20" spans="1:5" ht="15" customHeight="1" x14ac:dyDescent="0.25">
      <c r="A20" s="1"/>
      <c r="B20" s="107" t="s">
        <v>140</v>
      </c>
      <c r="C20" s="108"/>
      <c r="D20" s="109"/>
      <c r="E20" s="1"/>
    </row>
    <row r="21" spans="1:5" x14ac:dyDescent="0.25">
      <c r="A21" s="1"/>
      <c r="B21" s="68" t="s">
        <v>179</v>
      </c>
      <c r="C21" s="9"/>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5" t="s">
        <v>141</v>
      </c>
      <c r="C24" s="12">
        <f>SUM(C21:C23)*(1+'Fane 15. Nøgletal'!C10)^4</f>
        <v>0</v>
      </c>
      <c r="D24" s="13" t="s">
        <v>3</v>
      </c>
      <c r="E24" s="1"/>
    </row>
    <row r="25" spans="1:5" x14ac:dyDescent="0.25">
      <c r="A25" s="1"/>
      <c r="B25" s="1"/>
      <c r="C25" s="1"/>
      <c r="D25" s="1"/>
      <c r="E25" s="1"/>
    </row>
    <row r="26" spans="1:5" ht="15" customHeight="1" x14ac:dyDescent="0.25">
      <c r="A26" s="1"/>
      <c r="B26" s="107" t="s">
        <v>180</v>
      </c>
      <c r="C26" s="108"/>
      <c r="D26" s="109"/>
      <c r="E26" s="1"/>
    </row>
    <row r="27" spans="1:5" ht="14.25" customHeight="1" x14ac:dyDescent="0.25">
      <c r="A27" s="1"/>
      <c r="B27" s="68" t="s">
        <v>179</v>
      </c>
      <c r="C27" s="9"/>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5"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nesn6fB6L22Cpxuw0sn7BHSDw0N3xqFQu3LIMx4Fj9QbGCRH6U0yJJS/nP7dgfG0VIZPsCmrTwniMcAV/YsmAA==" saltValue="fdi0YEDmE1sx9/pQLHG/FQ=="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117</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x14ac:dyDescent="0.25">
      <c r="A8" s="1"/>
      <c r="B8" s="107" t="s">
        <v>66</v>
      </c>
      <c r="C8" s="108"/>
      <c r="D8" s="108"/>
      <c r="E8" s="108"/>
      <c r="F8" s="109"/>
      <c r="G8" s="1"/>
    </row>
    <row r="9" spans="1:7" ht="15" customHeight="1" x14ac:dyDescent="0.25">
      <c r="A9" s="1"/>
      <c r="B9" s="31" t="s">
        <v>67</v>
      </c>
      <c r="C9" s="27" t="s">
        <v>11</v>
      </c>
      <c r="D9" s="32"/>
      <c r="E9" s="27" t="s">
        <v>27</v>
      </c>
      <c r="F9" s="32"/>
      <c r="G9" s="1"/>
    </row>
    <row r="10" spans="1:7" ht="26.25" x14ac:dyDescent="0.25">
      <c r="A10" s="1"/>
      <c r="B10" s="70" t="s">
        <v>222</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1u/B82oyambC2NZJbqbYoMr317C+NZuAAcyKvOb1CWJVRsyB8C/v9dKFuHbNuWMSewwLjwPbgs8fGGyLz1ByLQ==" saltValue="p08xVFMH5da8AntHCUiLqQ=="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118</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7" t="s">
        <v>183</v>
      </c>
      <c r="C8" s="108"/>
      <c r="D8" s="108"/>
      <c r="E8" s="108"/>
      <c r="F8" s="109"/>
      <c r="G8" s="1"/>
    </row>
    <row r="9" spans="1:7" x14ac:dyDescent="0.25">
      <c r="A9" s="1"/>
      <c r="B9" s="31" t="s">
        <v>18</v>
      </c>
      <c r="C9" s="127" t="s">
        <v>11</v>
      </c>
      <c r="D9" s="128"/>
      <c r="E9" s="127" t="s">
        <v>27</v>
      </c>
      <c r="F9" s="128"/>
      <c r="G9" s="1"/>
    </row>
    <row r="10" spans="1:7" x14ac:dyDescent="0.25">
      <c r="A10" s="1"/>
      <c r="B10" s="70" t="s">
        <v>223</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216</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6"/>
      <c r="C14" s="126"/>
      <c r="D14" s="126"/>
      <c r="E14" s="126"/>
      <c r="F14" s="126"/>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6"/>
      <c r="C21" s="126"/>
      <c r="D21" s="126"/>
      <c r="E21" s="126"/>
      <c r="F21" s="126"/>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6"/>
      <c r="C27" s="126"/>
      <c r="D27" s="126"/>
      <c r="E27" s="126"/>
      <c r="F27" s="126"/>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2Wi0yHMfapEfbv51sNyRzE7Mz8dTLtXiCCAcjSse4/gkIPVSEc5c/f+KpP6+psz4V+8Ago9N1nYVrdR6NkHekQ==" saltValue="hPCwd6w5rwdWAa9sRZuvHQ=="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155</v>
      </c>
      <c r="C3" s="103"/>
      <c r="D3" s="103"/>
      <c r="E3" s="1"/>
    </row>
    <row r="4" spans="1:5" ht="15" customHeight="1" x14ac:dyDescent="0.25">
      <c r="A4" s="1"/>
      <c r="B4" s="103"/>
      <c r="C4" s="103"/>
      <c r="D4" s="10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106898509.79283021</v>
      </c>
      <c r="D9" s="8" t="s">
        <v>3</v>
      </c>
      <c r="E9" s="1"/>
    </row>
    <row r="10" spans="1:5" ht="17.25" customHeight="1" x14ac:dyDescent="0.25">
      <c r="A10" s="1"/>
      <c r="B10" s="64" t="s">
        <v>35</v>
      </c>
      <c r="C10" s="7">
        <f>'Fane 11.1. Varige tillæg'!C20</f>
        <v>378532.23480000003</v>
      </c>
      <c r="D10" s="8" t="s">
        <v>3</v>
      </c>
      <c r="E10" s="1"/>
    </row>
    <row r="11" spans="1:5" ht="17.25" customHeight="1" x14ac:dyDescent="0.25">
      <c r="A11" s="1"/>
      <c r="B11" s="64" t="s">
        <v>36</v>
      </c>
      <c r="C11" s="9">
        <f>'Fane 11.1. Varige tillæg'!E20</f>
        <v>1580756.6947000001</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8767300.4472865313</v>
      </c>
      <c r="D16" s="8" t="s">
        <v>3</v>
      </c>
      <c r="E16" s="1"/>
    </row>
    <row r="17" spans="1:5" ht="17.25" customHeight="1" x14ac:dyDescent="0.25">
      <c r="A17" s="1"/>
      <c r="B17" s="64" t="s">
        <v>10</v>
      </c>
      <c r="C17" s="38">
        <f>-SUM(C9,C10:C16)*'Fane 5. Individuelt eff. krav'!C9</f>
        <v>-108420.2763914548</v>
      </c>
      <c r="D17" s="8" t="s">
        <v>3</v>
      </c>
      <c r="E17" s="1"/>
    </row>
    <row r="18" spans="1:5" ht="17.25" customHeight="1" x14ac:dyDescent="0.25">
      <c r="A18" s="1"/>
      <c r="B18" s="64" t="s">
        <v>22</v>
      </c>
      <c r="C18" s="38">
        <f>-'Fane 4.1. Gen. krav - drift'!C17</f>
        <v>-771793.72596501431</v>
      </c>
      <c r="D18" s="8" t="s">
        <v>3</v>
      </c>
      <c r="E18" s="1"/>
    </row>
    <row r="19" spans="1:5" ht="17.25" customHeight="1" x14ac:dyDescent="0.25">
      <c r="A19" s="1"/>
      <c r="B19" s="64" t="s">
        <v>23</v>
      </c>
      <c r="C19" s="38">
        <f>-'Fane 4.2. Gen. krav - anlæg'!C17</f>
        <v>0</v>
      </c>
      <c r="D19" s="8" t="s">
        <v>3</v>
      </c>
      <c r="E19" s="43"/>
    </row>
    <row r="20" spans="1:5" ht="17.25" customHeight="1" x14ac:dyDescent="0.25">
      <c r="A20" s="1"/>
      <c r="B20" s="81" t="s">
        <v>21</v>
      </c>
      <c r="C20" s="10">
        <f>SUM(C9:C19)</f>
        <v>116744885.16726027</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3044180.30446176</v>
      </c>
      <c r="D22" s="11" t="s">
        <v>3</v>
      </c>
      <c r="E22" s="1"/>
    </row>
    <row r="23" spans="1:5" ht="15" customHeight="1" x14ac:dyDescent="0.25">
      <c r="A23" s="1"/>
      <c r="B23" s="33" t="s">
        <v>42</v>
      </c>
      <c r="C23" s="28"/>
      <c r="D23" s="19"/>
      <c r="E23" s="1"/>
    </row>
    <row r="24" spans="1:5" ht="15" customHeight="1" x14ac:dyDescent="0.25">
      <c r="A24" s="1"/>
      <c r="B24" s="81"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0</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0</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0</v>
      </c>
      <c r="D30" s="11" t="s">
        <v>3</v>
      </c>
      <c r="E30" s="1"/>
    </row>
    <row r="31" spans="1:5" x14ac:dyDescent="0.25">
      <c r="A31" s="1"/>
      <c r="B31" s="33" t="s">
        <v>69</v>
      </c>
      <c r="C31" s="28"/>
      <c r="D31" s="19"/>
      <c r="E31" s="1"/>
    </row>
    <row r="32" spans="1:5" x14ac:dyDescent="0.25">
      <c r="A32" s="1"/>
      <c r="B32" s="31" t="s">
        <v>79</v>
      </c>
      <c r="C32" s="62">
        <f>'Fane 7. Kontrol af ØR2023'!C27</f>
        <v>-4292082.0466419831</v>
      </c>
      <c r="D32" s="11" t="s">
        <v>3</v>
      </c>
      <c r="E32" s="1"/>
    </row>
    <row r="33" spans="1:5" ht="15" customHeight="1" x14ac:dyDescent="0.25">
      <c r="A33" s="1"/>
      <c r="B33" s="33" t="s">
        <v>154</v>
      </c>
      <c r="C33" s="28"/>
      <c r="D33" s="19"/>
      <c r="E33" s="1"/>
    </row>
    <row r="34" spans="1:5" x14ac:dyDescent="0.25">
      <c r="A34" s="1"/>
      <c r="B34" s="31" t="s">
        <v>154</v>
      </c>
      <c r="C34" s="10">
        <f>'Fane 9. Korrektion af ØR2023'!C16</f>
        <v>-46828</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115450155.42508005</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N6feIk04RGK6CHoK8YstKnWQb4PFSc6dZBTByXEeuryEWME5tMCH8UoHg/ORg3Fm6fG6AKL7eXjmP94ij5fu1w==" saltValue="NFxa5sIDl1duhOIoCFTbd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6" t="s">
        <v>119</v>
      </c>
      <c r="C3" s="106"/>
      <c r="D3" s="1"/>
    </row>
    <row r="4" spans="1:4" ht="15" customHeight="1" x14ac:dyDescent="0.25">
      <c r="A4" s="1"/>
      <c r="B4" s="106"/>
      <c r="C4" s="106"/>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226</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215</v>
      </c>
      <c r="C15" s="60">
        <v>0</v>
      </c>
      <c r="D15" s="1"/>
    </row>
    <row r="16" spans="1:4" x14ac:dyDescent="0.25">
      <c r="A16" s="1"/>
      <c r="B16" s="59" t="s">
        <v>227</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BqkAOGuMelpHpYjhs0i5d7Gl2TmEfpO4M392S0TelY9UNl2xwhSn1TYEnmpoUiW0JQVN2p3xFxgBiCVjBZFHdQ==" saltValue="cNZ50mLykplmDnGfRGzwdw=="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156</v>
      </c>
      <c r="C3" s="103"/>
      <c r="D3" s="103"/>
      <c r="E3" s="1"/>
    </row>
    <row r="4" spans="1:5" ht="15" customHeight="1" x14ac:dyDescent="0.25">
      <c r="A4" s="1"/>
      <c r="B4" s="103"/>
      <c r="C4" s="103"/>
      <c r="D4" s="103"/>
      <c r="E4" s="1"/>
    </row>
    <row r="5" spans="1:5" x14ac:dyDescent="0.25">
      <c r="A5" s="1"/>
      <c r="B5" s="104" t="s">
        <v>144</v>
      </c>
      <c r="C5" s="104"/>
      <c r="D5" s="104"/>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116744885.16726027</v>
      </c>
      <c r="D9" s="8" t="s">
        <v>3</v>
      </c>
      <c r="E9" s="1"/>
    </row>
    <row r="10" spans="1:5" ht="15" customHeight="1" x14ac:dyDescent="0.25">
      <c r="A10" s="1"/>
      <c r="B10" s="26" t="s">
        <v>19</v>
      </c>
      <c r="C10" s="7">
        <f>C9*'Fane 15. Nøgletal'!C10</f>
        <v>7740185.8865893558</v>
      </c>
      <c r="D10" s="8" t="s">
        <v>3</v>
      </c>
      <c r="E10" s="1"/>
    </row>
    <row r="11" spans="1:5" ht="15" customHeight="1" x14ac:dyDescent="0.25">
      <c r="A11" s="1"/>
      <c r="B11" s="26" t="s">
        <v>10</v>
      </c>
      <c r="C11" s="9">
        <f>-SUM(C9:C10)*'Fane 5. Individuelt eff. krav'!C9</f>
        <v>-114743.41705596236</v>
      </c>
      <c r="D11" s="8" t="s">
        <v>3</v>
      </c>
      <c r="E11" s="1"/>
    </row>
    <row r="12" spans="1:5" ht="15" customHeight="1" x14ac:dyDescent="0.25">
      <c r="A12" s="1"/>
      <c r="B12" s="26" t="s">
        <v>22</v>
      </c>
      <c r="C12" s="9">
        <f>-'Fane 4.1. Gen. krav - drift'!C22</f>
        <v>-806504.37699656491</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123563823.25979711</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3235585.1096475748</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-2003136.9033008441</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124796271.46614385</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o7bx3HZO4xDO1uBO5IBYgeS09+Gzyfr1cZ2aVovsfnJiAOhUM3LTGhAQBM1lXxIvXN8Dknz8cup4NQGvpeHBAw==" saltValue="F1Zmhl8M3IyBq4Qm0fAzSw=="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157</v>
      </c>
      <c r="C3" s="103"/>
      <c r="D3" s="103"/>
      <c r="E3" s="1"/>
    </row>
    <row r="4" spans="1:5" ht="15" customHeight="1" x14ac:dyDescent="0.25">
      <c r="A4" s="1"/>
      <c r="B4" s="103"/>
      <c r="C4" s="103"/>
      <c r="D4" s="103"/>
      <c r="E4" s="1"/>
    </row>
    <row r="5" spans="1:5" x14ac:dyDescent="0.25">
      <c r="A5" s="1"/>
      <c r="B5" s="104" t="s">
        <v>144</v>
      </c>
      <c r="C5" s="104"/>
      <c r="D5" s="104"/>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123563823.25979711</v>
      </c>
      <c r="D9" s="8" t="s">
        <v>3</v>
      </c>
      <c r="E9" s="1"/>
    </row>
    <row r="10" spans="1:5" ht="15" customHeight="1" x14ac:dyDescent="0.25">
      <c r="A10" s="1"/>
      <c r="B10" s="26" t="s">
        <v>19</v>
      </c>
      <c r="C10" s="7">
        <f>SUM(C9:C9)*'Fane 15. Nøgletal'!C10</f>
        <v>8192281.4821245484</v>
      </c>
      <c r="D10" s="8" t="s">
        <v>3</v>
      </c>
      <c r="E10" s="1"/>
    </row>
    <row r="11" spans="1:5" ht="15" customHeight="1" x14ac:dyDescent="0.25">
      <c r="A11" s="1"/>
      <c r="B11" s="26" t="s">
        <v>10</v>
      </c>
      <c r="C11" s="9">
        <f>-SUM(C9:C10)*'Fane 5. Individuelt eff. krav'!C9</f>
        <v>-121445.45163597637</v>
      </c>
      <c r="D11" s="8" t="s">
        <v>3</v>
      </c>
      <c r="E11" s="1"/>
    </row>
    <row r="12" spans="1:5" ht="15" customHeight="1" x14ac:dyDescent="0.25">
      <c r="A12" s="1"/>
      <c r="B12" s="26" t="s">
        <v>22</v>
      </c>
      <c r="C12" s="9">
        <f>-'Fane 4.1. Gen. krav - drift'!C27</f>
        <v>-842776.10484760848</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130791883.18543808</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3439680.0534172091</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-2003136.9033008441</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132228426.33555445</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OovL0nmfmlnMd+ETQEz2IcKF6jsRrKVfWi3GCWlZMZbICvM4hDxgmQiWqxJETZqfwW5QnTZaQWijQBddPEGV6g==" saltValue="qRDhN0y8P8Ed14cKZGsZcA=="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3" t="s">
        <v>158</v>
      </c>
      <c r="C3" s="103"/>
      <c r="D3" s="103"/>
      <c r="E3" s="1"/>
    </row>
    <row r="4" spans="1:5" ht="15" customHeight="1" x14ac:dyDescent="0.25">
      <c r="A4" s="1"/>
      <c r="B4" s="103"/>
      <c r="C4" s="103"/>
      <c r="D4" s="103"/>
      <c r="E4" s="1"/>
    </row>
    <row r="5" spans="1:5" x14ac:dyDescent="0.25">
      <c r="A5" s="1"/>
      <c r="B5" s="104" t="s">
        <v>144</v>
      </c>
      <c r="C5" s="104"/>
      <c r="D5" s="104"/>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130791883.18543808</v>
      </c>
      <c r="D9" s="8" t="s">
        <v>3</v>
      </c>
      <c r="E9" s="1"/>
    </row>
    <row r="10" spans="1:5" ht="15" customHeight="1" x14ac:dyDescent="0.25">
      <c r="A10" s="1"/>
      <c r="B10" s="26" t="s">
        <v>19</v>
      </c>
      <c r="C10" s="7">
        <f>SUM(C9:C9)*'Fane 15. Nøgletal'!C10</f>
        <v>8671501.8551945444</v>
      </c>
      <c r="D10" s="8" t="s">
        <v>3</v>
      </c>
      <c r="E10" s="1"/>
    </row>
    <row r="11" spans="1:5" ht="15" customHeight="1" x14ac:dyDescent="0.25">
      <c r="A11" s="1"/>
      <c r="B11" s="26" t="s">
        <v>10</v>
      </c>
      <c r="C11" s="9">
        <f>-SUM(C9:C10)*'Fane 5. Individuelt eff. krav'!C9</f>
        <v>-128549.59408611515</v>
      </c>
      <c r="D11" s="8" t="s">
        <v>3</v>
      </c>
      <c r="E11" s="1"/>
    </row>
    <row r="12" spans="1:5" ht="15" customHeight="1" x14ac:dyDescent="0.25">
      <c r="A12" s="1"/>
      <c r="B12" s="26" t="s">
        <v>22</v>
      </c>
      <c r="C12" s="9">
        <f>-'Fane 4.1. Gen. krav - drift'!C32</f>
        <v>-880679.11738702492</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138454156.3291595</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3657306.49195877</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142111462.82111827</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ON4hN5XVtcGha3KhxEYs4CImK3hzftegA8TuMVN+wOH0slqIsKL1zMlBZpUGgoqz5F5zVK2XVawA72iXoGnasQ==" saltValue="tTIEzjFOqw83v0jLrIiZWg=="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6" t="s">
        <v>161</v>
      </c>
      <c r="C3" s="106"/>
      <c r="D3" s="106"/>
      <c r="E3" s="1"/>
    </row>
    <row r="4" spans="1:5" ht="15" customHeight="1" x14ac:dyDescent="0.25">
      <c r="A4" s="1"/>
      <c r="B4" s="106"/>
      <c r="C4" s="106"/>
      <c r="D4" s="106"/>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98980901.412006095</v>
      </c>
      <c r="D9" s="8" t="s">
        <v>3</v>
      </c>
      <c r="E9" s="1"/>
    </row>
    <row r="10" spans="1:5" ht="15" customHeight="1" x14ac:dyDescent="0.25">
      <c r="A10" s="1"/>
      <c r="B10" s="64" t="s">
        <v>35</v>
      </c>
      <c r="C10" s="7">
        <v>123092.31199999999</v>
      </c>
      <c r="D10" s="8" t="s">
        <v>3</v>
      </c>
      <c r="E10" s="1"/>
    </row>
    <row r="11" spans="1:5" ht="15" customHeight="1" x14ac:dyDescent="0.25">
      <c r="A11" s="1"/>
      <c r="B11" s="64" t="s">
        <v>36</v>
      </c>
      <c r="C11" s="9">
        <v>561851.71840000001</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8053000.311746412</v>
      </c>
      <c r="D16" s="8" t="s">
        <v>3</v>
      </c>
      <c r="E16" s="1"/>
    </row>
    <row r="17" spans="1:5" ht="15" customHeight="1" x14ac:dyDescent="0.25">
      <c r="A17" s="1"/>
      <c r="B17" s="64" t="s">
        <v>10</v>
      </c>
      <c r="C17" s="38">
        <v>-99289.242786461633</v>
      </c>
      <c r="D17" s="8" t="s">
        <v>3</v>
      </c>
      <c r="E17" s="1"/>
    </row>
    <row r="18" spans="1:5" ht="15" customHeight="1" x14ac:dyDescent="0.25">
      <c r="A18" s="1"/>
      <c r="B18" s="64" t="s">
        <v>22</v>
      </c>
      <c r="C18" s="38">
        <v>-721046.71853584435</v>
      </c>
      <c r="D18" s="8" t="s">
        <v>3</v>
      </c>
      <c r="E18" s="1"/>
    </row>
    <row r="19" spans="1:5" ht="15" customHeight="1" x14ac:dyDescent="0.25">
      <c r="A19" s="1"/>
      <c r="B19" s="64" t="s">
        <v>23</v>
      </c>
      <c r="C19" s="38">
        <v>0</v>
      </c>
      <c r="D19" s="8" t="s">
        <v>3</v>
      </c>
      <c r="E19" s="43"/>
    </row>
    <row r="20" spans="1:5" ht="15" customHeight="1" x14ac:dyDescent="0.25">
      <c r="A20" s="1"/>
      <c r="B20" s="81" t="s">
        <v>21</v>
      </c>
      <c r="C20" s="10">
        <v>106898509.79283021</v>
      </c>
      <c r="D20" s="11" t="s">
        <v>3</v>
      </c>
      <c r="E20" s="1"/>
    </row>
    <row r="21" spans="1:5" ht="15" customHeight="1" x14ac:dyDescent="0.25">
      <c r="A21" s="1"/>
      <c r="B21" s="33" t="s">
        <v>12</v>
      </c>
      <c r="C21" s="28"/>
      <c r="D21" s="19"/>
      <c r="E21" s="1"/>
    </row>
    <row r="22" spans="1:5" ht="15" customHeight="1" x14ac:dyDescent="0.25">
      <c r="A22" s="1"/>
      <c r="B22" s="31" t="s">
        <v>12</v>
      </c>
      <c r="C22" s="10">
        <v>2663243.2383507197</v>
      </c>
      <c r="D22" s="11" t="s">
        <v>3</v>
      </c>
      <c r="E22" s="1"/>
    </row>
    <row r="23" spans="1:5" ht="15" customHeight="1" x14ac:dyDescent="0.25">
      <c r="A23" s="1"/>
      <c r="B23" s="33" t="s">
        <v>42</v>
      </c>
      <c r="C23" s="28"/>
      <c r="D23" s="19"/>
      <c r="E23" s="1"/>
    </row>
    <row r="24" spans="1:5" ht="15" customHeight="1" x14ac:dyDescent="0.25">
      <c r="A24" s="1"/>
      <c r="B24" s="81" t="s">
        <v>42</v>
      </c>
      <c r="C24" s="10">
        <v>0</v>
      </c>
      <c r="D24" s="11" t="s">
        <v>3</v>
      </c>
      <c r="E24" s="1"/>
    </row>
    <row r="25" spans="1:5" x14ac:dyDescent="0.25">
      <c r="A25" s="1"/>
      <c r="B25" s="41" t="s">
        <v>41</v>
      </c>
      <c r="C25" s="39"/>
      <c r="D25" s="40"/>
      <c r="E25" s="1"/>
    </row>
    <row r="26" spans="1:5" ht="15" customHeight="1" x14ac:dyDescent="0.25">
      <c r="A26" s="1"/>
      <c r="B26" s="64" t="s">
        <v>89</v>
      </c>
      <c r="C26" s="38">
        <v>0</v>
      </c>
      <c r="D26" s="8" t="s">
        <v>3</v>
      </c>
      <c r="E26" s="1"/>
    </row>
    <row r="27" spans="1:5" ht="15" customHeight="1" x14ac:dyDescent="0.25">
      <c r="A27" s="1"/>
      <c r="B27" s="64" t="s">
        <v>38</v>
      </c>
      <c r="C27" s="38">
        <v>0</v>
      </c>
      <c r="D27" s="8" t="s">
        <v>3</v>
      </c>
      <c r="E27" s="1"/>
    </row>
    <row r="28" spans="1:5" ht="15" customHeight="1" x14ac:dyDescent="0.25">
      <c r="A28" s="1"/>
      <c r="B28" s="64" t="s">
        <v>92</v>
      </c>
      <c r="C28" s="38">
        <v>0</v>
      </c>
      <c r="D28" s="8" t="s">
        <v>3</v>
      </c>
      <c r="E28" s="1"/>
    </row>
    <row r="29" spans="1:5" ht="15" customHeight="1" x14ac:dyDescent="0.25">
      <c r="A29" s="1"/>
      <c r="B29" s="64" t="s">
        <v>93</v>
      </c>
      <c r="C29" s="38">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-4292082</v>
      </c>
      <c r="D32" s="11" t="s">
        <v>3</v>
      </c>
      <c r="E32" s="1"/>
    </row>
    <row r="33" spans="1:5" x14ac:dyDescent="0.25">
      <c r="A33" s="1"/>
      <c r="B33" s="33" t="s">
        <v>128</v>
      </c>
      <c r="C33" s="28"/>
      <c r="D33" s="19"/>
      <c r="E33" s="1"/>
    </row>
    <row r="34" spans="1:5" ht="15.4" customHeight="1" x14ac:dyDescent="0.25">
      <c r="A34" s="1"/>
      <c r="B34" s="31" t="s">
        <v>128</v>
      </c>
      <c r="C34" s="10">
        <v>-46828</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0" t="s">
        <v>213</v>
      </c>
      <c r="C37" s="28"/>
      <c r="D37" s="19"/>
      <c r="E37" s="1"/>
    </row>
    <row r="38" spans="1:5" x14ac:dyDescent="0.25">
      <c r="A38" s="1"/>
      <c r="B38" s="67" t="s">
        <v>214</v>
      </c>
      <c r="C38" s="10">
        <v>2849942.014479639</v>
      </c>
      <c r="D38" s="11" t="s">
        <v>3</v>
      </c>
      <c r="E38" s="1"/>
    </row>
    <row r="39" spans="1:5" x14ac:dyDescent="0.25">
      <c r="A39" s="1"/>
      <c r="B39" s="33" t="s">
        <v>65</v>
      </c>
      <c r="C39" s="45">
        <v>108072785.04566057</v>
      </c>
      <c r="D39" s="30" t="s">
        <v>3</v>
      </c>
      <c r="E39" s="1"/>
    </row>
    <row r="40" spans="1:5" ht="30" customHeight="1" x14ac:dyDescent="0.25">
      <c r="A40" s="1"/>
      <c r="B40" s="105" t="s">
        <v>225</v>
      </c>
      <c r="C40" s="105"/>
      <c r="D40" s="105"/>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GeuR3x9Fg/iDeJvGW7EGP7OFUEkKM2g9z6/fna5fv/GYnCKwC71XSuRzoECDtJMvwJJbOml8ynFBYg+fUPXf8g==" saltValue="YepKTYYHDsRKYRZD8FsViQ==" spinCount="100000" sheet="1" objects="1" scenarios="1"/>
  <mergeCells count="2">
    <mergeCell ref="B40:D40"/>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6" t="s">
        <v>56</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4"/>
      <c r="C6" s="74"/>
      <c r="D6" s="74"/>
      <c r="E6" s="1"/>
    </row>
    <row r="7" spans="1:5" x14ac:dyDescent="0.25">
      <c r="A7" s="1"/>
      <c r="B7" s="1"/>
      <c r="C7" s="1"/>
      <c r="D7" s="1"/>
      <c r="E7" s="1"/>
    </row>
    <row r="8" spans="1:5" x14ac:dyDescent="0.25">
      <c r="A8" s="1"/>
      <c r="B8" s="107" t="s">
        <v>123</v>
      </c>
      <c r="C8" s="108"/>
      <c r="D8" s="109"/>
      <c r="E8" s="1"/>
    </row>
    <row r="9" spans="1:5" x14ac:dyDescent="0.25">
      <c r="A9" s="1"/>
      <c r="B9" s="65" t="s">
        <v>88</v>
      </c>
      <c r="C9" s="23">
        <v>35919297.755982615</v>
      </c>
      <c r="D9" s="14" t="s">
        <v>3</v>
      </c>
      <c r="E9" s="1"/>
    </row>
    <row r="10" spans="1:5" x14ac:dyDescent="0.25">
      <c r="A10" s="1"/>
      <c r="B10" s="65" t="s">
        <v>125</v>
      </c>
      <c r="C10" s="23">
        <f>('Fane 3. Omkostninger i ØR2024'!C10+'Fane 3. Omkostninger i ØR2024'!C12+'Fane 3. Omkostninger i ØR2024'!C14)*(1+'Fane 15. Nøgletal'!C9)</f>
        <v>133038.17080959998</v>
      </c>
      <c r="D10" s="14" t="s">
        <v>3</v>
      </c>
      <c r="E10" s="1"/>
    </row>
    <row r="11" spans="1:5" x14ac:dyDescent="0.25">
      <c r="A11" s="1"/>
      <c r="B11" s="65" t="s">
        <v>131</v>
      </c>
      <c r="C11" s="23">
        <f>C9*'Fane 15. Nøgletal'!C21+C10*'Fane 15. Nøgletal'!C21</f>
        <v>721046.71853584435</v>
      </c>
      <c r="D11" s="14" t="s">
        <v>3</v>
      </c>
      <c r="E11" s="1"/>
    </row>
    <row r="12" spans="1:5" x14ac:dyDescent="0.25">
      <c r="A12" s="1"/>
      <c r="B12" s="33"/>
      <c r="C12" s="28"/>
      <c r="D12" s="19"/>
      <c r="E12" s="1"/>
    </row>
    <row r="13" spans="1:5" x14ac:dyDescent="0.25">
      <c r="A13" s="1"/>
      <c r="B13" s="1"/>
      <c r="C13" s="1"/>
      <c r="D13" s="1"/>
      <c r="E13" s="1"/>
    </row>
    <row r="14" spans="1:5" x14ac:dyDescent="0.25">
      <c r="A14" s="1"/>
      <c r="B14" s="107" t="s">
        <v>124</v>
      </c>
      <c r="C14" s="108"/>
      <c r="D14" s="109"/>
      <c r="E14" s="1"/>
    </row>
    <row r="15" spans="1:5" x14ac:dyDescent="0.25">
      <c r="A15" s="1"/>
      <c r="B15" s="65" t="s">
        <v>133</v>
      </c>
      <c r="C15" s="23">
        <f>(C9+C10-C11)*(1+'Fane 15. Nøgletal'!C9)</f>
        <v>38186057.376283474</v>
      </c>
      <c r="D15" s="14" t="s">
        <v>3</v>
      </c>
      <c r="E15" s="1"/>
    </row>
    <row r="16" spans="1:5" x14ac:dyDescent="0.25">
      <c r="A16" s="1"/>
      <c r="B16" s="65" t="s">
        <v>184</v>
      </c>
      <c r="C16" s="23">
        <f>('Fane 2.1. Økonomisk ramme 2025'!C10+'Fane 2.1. Økonomisk ramme 2025'!C12+'Fane 2.1. Økonomisk ramme 2025'!C14)*(1+'Fane 15. Nøgletal'!C10)</f>
        <v>403628.92196724005</v>
      </c>
      <c r="D16" s="14" t="s">
        <v>3</v>
      </c>
      <c r="E16" s="1"/>
    </row>
    <row r="17" spans="1:5" x14ac:dyDescent="0.25">
      <c r="A17" s="1"/>
      <c r="B17" s="65" t="s">
        <v>132</v>
      </c>
      <c r="C17" s="23">
        <f>C15*'Fane 15. Nøgletal'!C21+C16*'Fane 15. Nøgletal'!C21</f>
        <v>771793.72596501431</v>
      </c>
      <c r="D17" s="14" t="s">
        <v>3</v>
      </c>
      <c r="E17" s="1"/>
    </row>
    <row r="18" spans="1:5" x14ac:dyDescent="0.25">
      <c r="A18" s="1"/>
      <c r="B18" s="33"/>
      <c r="C18" s="28"/>
      <c r="D18" s="19"/>
      <c r="E18" s="1"/>
    </row>
    <row r="19" spans="1:5" x14ac:dyDescent="0.25">
      <c r="A19" s="1"/>
      <c r="B19" s="1"/>
      <c r="C19" s="63"/>
      <c r="D19" s="1"/>
      <c r="E19" s="1"/>
    </row>
    <row r="20" spans="1:5" x14ac:dyDescent="0.25">
      <c r="A20" s="1"/>
      <c r="B20" s="107" t="s">
        <v>145</v>
      </c>
      <c r="C20" s="108"/>
      <c r="D20" s="109"/>
      <c r="E20" s="1"/>
    </row>
    <row r="21" spans="1:5" x14ac:dyDescent="0.25">
      <c r="A21" s="1"/>
      <c r="B21" s="65" t="s">
        <v>189</v>
      </c>
      <c r="C21" s="23">
        <f>(C15+C16-C17)*(1+'Fane 15. Nøgletal'!C10)</f>
        <v>40325218.849828243</v>
      </c>
      <c r="D21" s="14" t="s">
        <v>3</v>
      </c>
      <c r="E21" s="1"/>
    </row>
    <row r="22" spans="1:5" x14ac:dyDescent="0.25">
      <c r="A22" s="1"/>
      <c r="B22" s="65" t="s">
        <v>196</v>
      </c>
      <c r="C22" s="23">
        <f>C21*'Fane 15. Nøgletal'!C21</f>
        <v>806504.37699656491</v>
      </c>
      <c r="D22" s="14" t="s">
        <v>3</v>
      </c>
      <c r="E22" s="1"/>
    </row>
    <row r="23" spans="1:5" x14ac:dyDescent="0.25">
      <c r="A23" s="1"/>
      <c r="B23" s="33"/>
      <c r="C23" s="28"/>
      <c r="D23" s="19"/>
      <c r="E23" s="1"/>
    </row>
    <row r="24" spans="1:5" x14ac:dyDescent="0.25">
      <c r="A24" s="1"/>
      <c r="B24" s="1"/>
      <c r="C24" s="1"/>
      <c r="D24" s="1"/>
      <c r="E24" s="1"/>
    </row>
    <row r="25" spans="1:5" x14ac:dyDescent="0.25">
      <c r="A25" s="1"/>
      <c r="B25" s="107" t="s">
        <v>187</v>
      </c>
      <c r="C25" s="108"/>
      <c r="D25" s="109"/>
      <c r="E25" s="1"/>
    </row>
    <row r="26" spans="1:5" x14ac:dyDescent="0.25">
      <c r="A26" s="1"/>
      <c r="B26" s="65" t="s">
        <v>190</v>
      </c>
      <c r="C26" s="23">
        <f>(C21-C22)*(1+'Fane 15. Nøgletal'!C10)</f>
        <v>42138805.242380425</v>
      </c>
      <c r="D26" s="14" t="s">
        <v>3</v>
      </c>
      <c r="E26" s="1"/>
    </row>
    <row r="27" spans="1:5" x14ac:dyDescent="0.25">
      <c r="A27" s="1"/>
      <c r="B27" s="65" t="s">
        <v>194</v>
      </c>
      <c r="C27" s="23">
        <f>C26*'Fane 15. Nøgletal'!C21</f>
        <v>842776.10484760848</v>
      </c>
      <c r="D27" s="14" t="s">
        <v>3</v>
      </c>
      <c r="E27" s="1"/>
    </row>
    <row r="28" spans="1:5" x14ac:dyDescent="0.25">
      <c r="A28" s="1"/>
      <c r="B28" s="33"/>
      <c r="C28" s="28"/>
      <c r="D28" s="19"/>
      <c r="E28" s="1"/>
    </row>
    <row r="29" spans="1:5" x14ac:dyDescent="0.25">
      <c r="A29" s="1"/>
      <c r="B29" s="1"/>
      <c r="C29" s="1"/>
      <c r="D29" s="1"/>
      <c r="E29" s="1"/>
    </row>
    <row r="30" spans="1:5" x14ac:dyDescent="0.25">
      <c r="A30" s="1"/>
      <c r="B30" s="107" t="s">
        <v>188</v>
      </c>
      <c r="C30" s="108"/>
      <c r="D30" s="109"/>
      <c r="E30" s="1"/>
    </row>
    <row r="31" spans="1:5" x14ac:dyDescent="0.25">
      <c r="A31" s="1"/>
      <c r="B31" s="65" t="s">
        <v>191</v>
      </c>
      <c r="C31" s="23">
        <f>(C26-C27)*(1+'Fane 15. Nøgletal'!C10)</f>
        <v>44033955.869351245</v>
      </c>
      <c r="D31" s="14" t="s">
        <v>3</v>
      </c>
      <c r="E31" s="1"/>
    </row>
    <row r="32" spans="1:5" x14ac:dyDescent="0.25">
      <c r="A32" s="1"/>
      <c r="B32" s="65" t="s">
        <v>195</v>
      </c>
      <c r="C32" s="23">
        <f>C31*'Fane 15. Nøgletal'!C21</f>
        <v>880679.11738702492</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U9+5s3n6FfzWaEmiyZhmjqZ/y/LfARU9FEy91UlZJgGSPzZ6r68neQoFO01XzeFN9k2HgKph0muz6YZ52XDT/A==" saltValue="i62Ih3lRUVPLgQi3CRVXQQ=="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0" t="s">
        <v>57</v>
      </c>
      <c r="C3" s="110"/>
      <c r="D3" s="110"/>
      <c r="E3" s="1"/>
    </row>
    <row r="4" spans="1:5" ht="15" customHeight="1" x14ac:dyDescent="0.25">
      <c r="A4" s="1"/>
      <c r="B4" s="110"/>
      <c r="C4" s="110"/>
      <c r="D4" s="110"/>
      <c r="E4" s="1"/>
    </row>
    <row r="5" spans="1:5" ht="15" customHeight="1" x14ac:dyDescent="0.25">
      <c r="A5" s="1"/>
      <c r="B5" s="110"/>
      <c r="C5" s="110"/>
      <c r="D5" s="110"/>
      <c r="E5" s="1"/>
    </row>
    <row r="6" spans="1:5" ht="15" customHeight="1" x14ac:dyDescent="0.35">
      <c r="A6" s="1"/>
      <c r="B6" s="69"/>
      <c r="C6" s="69"/>
      <c r="D6" s="69"/>
      <c r="E6" s="1"/>
    </row>
    <row r="7" spans="1:5" x14ac:dyDescent="0.25">
      <c r="A7" s="1"/>
      <c r="B7" s="1"/>
      <c r="C7" s="1"/>
      <c r="D7" s="1"/>
      <c r="E7" s="1"/>
    </row>
    <row r="8" spans="1:5" x14ac:dyDescent="0.25">
      <c r="A8" s="1"/>
      <c r="B8" s="107" t="s">
        <v>147</v>
      </c>
      <c r="C8" s="108"/>
      <c r="D8" s="109"/>
      <c r="E8" s="1"/>
    </row>
    <row r="9" spans="1:5" x14ac:dyDescent="0.25">
      <c r="A9" s="1"/>
      <c r="B9" s="65" t="s">
        <v>134</v>
      </c>
      <c r="C9" s="23">
        <v>86351685.492693633</v>
      </c>
      <c r="D9" s="14" t="s">
        <v>3</v>
      </c>
      <c r="E9" s="1"/>
    </row>
    <row r="10" spans="1:5" x14ac:dyDescent="0.25">
      <c r="A10" s="1"/>
      <c r="B10" s="65" t="s">
        <v>126</v>
      </c>
      <c r="C10" s="23">
        <f>('Fane 3. Omkostninger i ØR2024'!C11+'Fane 3. Omkostninger i ØR2024'!C13+'Fane 3. Omkostninger i ØR2024'!C15)*(1+'Fane 15. Nøgletal'!C9)</f>
        <v>607249.33724671998</v>
      </c>
      <c r="D10" s="14" t="s">
        <v>3</v>
      </c>
      <c r="E10" s="1"/>
    </row>
    <row r="11" spans="1:5" x14ac:dyDescent="0.25">
      <c r="A11" s="1"/>
      <c r="B11" s="65" t="s">
        <v>135</v>
      </c>
      <c r="C11" s="2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7" t="s">
        <v>146</v>
      </c>
      <c r="C14" s="108"/>
      <c r="D14" s="109"/>
      <c r="E14" s="1"/>
    </row>
    <row r="15" spans="1:5" x14ac:dyDescent="0.25">
      <c r="A15" s="1"/>
      <c r="B15" s="65" t="s">
        <v>136</v>
      </c>
      <c r="C15" s="23">
        <f>(C9+C10-C11)*(1+'Fane 15. Nøgletal'!C9)</f>
        <v>93985216.764199525</v>
      </c>
      <c r="D15" s="14" t="s">
        <v>3</v>
      </c>
      <c r="E15" s="1"/>
    </row>
    <row r="16" spans="1:5" x14ac:dyDescent="0.25">
      <c r="A16" s="1"/>
      <c r="B16" s="65" t="s">
        <v>185</v>
      </c>
      <c r="C16" s="23">
        <f>('Fane 2.1. Økonomisk ramme 2025'!C11+'Fane 2.1. Økonomisk ramme 2025'!C13+'Fane 2.1. Økonomisk ramme 2025'!C15)*(1+'Fane 15. Nøgletal'!C10)</f>
        <v>1685560.8635586102</v>
      </c>
      <c r="D16" s="14" t="s">
        <v>3</v>
      </c>
      <c r="E16" s="1"/>
    </row>
    <row r="17" spans="1:5" x14ac:dyDescent="0.25">
      <c r="A17" s="1"/>
      <c r="B17" s="65" t="s">
        <v>137</v>
      </c>
      <c r="C17" s="2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7" t="s">
        <v>82</v>
      </c>
      <c r="C20" s="108"/>
      <c r="D20" s="109"/>
      <c r="E20" s="1"/>
    </row>
    <row r="21" spans="1:5" x14ac:dyDescent="0.25">
      <c r="A21" s="1"/>
      <c r="B21" s="65" t="s">
        <v>192</v>
      </c>
      <c r="C21" s="23">
        <f>(C15+C16-C17)*(1+'Fane 15. Nøgletal'!C10)</f>
        <v>102013750.18447849</v>
      </c>
      <c r="D21" s="14" t="s">
        <v>3</v>
      </c>
      <c r="E21" s="1"/>
    </row>
    <row r="22" spans="1:5" x14ac:dyDescent="0.25">
      <c r="A22" s="1"/>
      <c r="B22" s="65" t="s">
        <v>197</v>
      </c>
      <c r="C22" s="2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7" t="s">
        <v>138</v>
      </c>
      <c r="C25" s="108"/>
      <c r="D25" s="109"/>
      <c r="E25" s="1"/>
    </row>
    <row r="26" spans="1:5" x14ac:dyDescent="0.25">
      <c r="A26" s="1"/>
      <c r="B26" s="65" t="s">
        <v>193</v>
      </c>
      <c r="C26" s="23">
        <f>(C21-C22)*(1+'Fane 15. Nøgletal'!C10)</f>
        <v>108777261.82170942</v>
      </c>
      <c r="D26" s="14" t="s">
        <v>3</v>
      </c>
      <c r="E26" s="1"/>
    </row>
    <row r="27" spans="1:5" x14ac:dyDescent="0.25">
      <c r="A27" s="1"/>
      <c r="B27" s="65" t="s">
        <v>198</v>
      </c>
      <c r="C27" s="2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7" t="s">
        <v>163</v>
      </c>
      <c r="C30" s="108"/>
      <c r="D30" s="109"/>
      <c r="E30" s="1"/>
    </row>
    <row r="31" spans="1:5" x14ac:dyDescent="0.25">
      <c r="A31" s="1"/>
      <c r="B31" s="65" t="s">
        <v>200</v>
      </c>
      <c r="C31" s="23">
        <f>(C26-C27)*(1+'Fane 15. Nøgletal'!C10)</f>
        <v>115989194.28048876</v>
      </c>
      <c r="D31" s="14" t="s">
        <v>3</v>
      </c>
      <c r="E31" s="1"/>
    </row>
    <row r="32" spans="1:5" x14ac:dyDescent="0.25">
      <c r="A32" s="1"/>
      <c r="B32" s="65" t="s">
        <v>199</v>
      </c>
      <c r="C32" s="2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20NQTad0hjtEWENNTgSK9KpXSuLcenpQMB0jspUviJ1bw5UumR5S12lRurWI/Uqb4+ZR2DUgMJH1mwoS7YUL1w==" saltValue="tBMEkqsOhWqBdWJvudzKDg=="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3" t="s">
        <v>44</v>
      </c>
      <c r="C3" s="103"/>
      <c r="D3" s="1"/>
    </row>
    <row r="4" spans="1:4" ht="15" customHeight="1" x14ac:dyDescent="0.25">
      <c r="A4" s="1"/>
      <c r="B4" s="103"/>
      <c r="C4" s="103"/>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7" t="s">
        <v>10</v>
      </c>
      <c r="C8" s="109"/>
      <c r="D8" s="1"/>
    </row>
    <row r="9" spans="1:4" x14ac:dyDescent="0.25">
      <c r="A9" s="1"/>
      <c r="B9" s="65" t="s">
        <v>164</v>
      </c>
      <c r="C9" s="22">
        <v>9.2174439942542801E-4</v>
      </c>
      <c r="D9" s="1"/>
    </row>
    <row r="10" spans="1:4" x14ac:dyDescent="0.25">
      <c r="A10" s="1"/>
      <c r="B10" s="33"/>
      <c r="C10" s="19"/>
      <c r="D10" s="1"/>
    </row>
    <row r="11" spans="1:4" x14ac:dyDescent="0.25">
      <c r="A11" s="1"/>
      <c r="B11" s="111" t="s">
        <v>220</v>
      </c>
      <c r="C11" s="112"/>
      <c r="D11" s="1"/>
    </row>
    <row r="12" spans="1:4" x14ac:dyDescent="0.25">
      <c r="A12" s="1"/>
      <c r="B12" s="113"/>
      <c r="C12" s="114"/>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d0nOVI0RxN9oWCPHl32xpZWXzr0u2AyR9KBoyPmlF0mCQb8D4hM39RHl0xh5UdIj5n5SVNffInqvPWUh0ud1qw==" saltValue="hiREeCW5w0K36d3zGNT/pA=="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2024-08-21T11:42:44Z</dcterms:modified>
</cp:coreProperties>
</file>