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Faxe Spildevand AS (S01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E24" i="32" l="1"/>
  <c r="E32" i="32" s="1"/>
  <c r="E34" i="32" s="1"/>
  <c r="C20" i="23" l="1"/>
  <c r="C20" i="15"/>
  <c r="C20" i="22"/>
  <c r="E28" i="32"/>
  <c r="C32" i="2" s="1"/>
  <c r="C14" i="19"/>
  <c r="E28" i="27" l="1"/>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<sst xmlns="http://schemas.openxmlformats.org/spreadsheetml/2006/main" count="607" uniqueCount="289">
  <si>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</si>
  <si>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</si>
  <si>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</si>
  <si>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</si>
  <si>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</si>
  <si>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</si>
  <si>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</si>
  <si>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</si>
  <si>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</si>
  <si>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</si>
  <si>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</si>
  <si>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</si>
  <si>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</si>
  <si>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</si>
  <si>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</si>
  <si>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</si>
  <si>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</si>
  <si>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</si>
  <si>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</si>
  <si>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</si>
  <si>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</si>
  <si>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</si>
  <si>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</si>
  <si>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</si>
  <si>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</si>
  <si>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</si>
  <si>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</si>
  <si>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</si>
  <si>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</si>
  <si>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</si>
  <si>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</si>
  <si>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</si>
  <si>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</si>
  <si>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</si>
  <si>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</si>
  <si>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</si>
  <si>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</si>
  <si>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</si>
  <si>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</si>
  <si>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</si>
  <si>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</si>
  <si>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</si>
  <si>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</si>
  <si>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</si>
  <si>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</si>
  <si>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</si>
  <si>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</si>
  <si>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</si>
  <si>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</si>
  <si>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</si>
  <si>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</si>
  <si>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</si>
  <si>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</si>
  <si>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</si>
  <si>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</si>
  <si>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</si>
  <si>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</si>
  <si>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</si>
  <si>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</si>
  <si>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</si>
  <si>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</si>
  <si>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</si>
  <si>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</si>
  <si>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</si>
  <si>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</si>
  <si>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</si>
  <si>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</si>
  <si>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</si>
  <si>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</si>
  <si>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</si>
  <si>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</si>
  <si>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</si>
  <si>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</si>
  <si>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</si>
  <si>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</si>
  <si>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</si>
  <si>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</si>
  <si>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</si>
  <si>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</si>
  <si>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</si>
  <si>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</si>
  <si>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</si>
  <si>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</si>
  <si>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</si>
  <si>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</si>
  <si>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</si>
  <si>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</si>
  <si>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</si>
  <si>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</si>
  <si>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</si>
  <si>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</si>
  <si>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</si>
  <si>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</si>
  <si>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</si>
  <si>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</si>
  <si>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</si>
  <si>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</si>
  <si>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</si>
  <si>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</si>
  <si>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</si>
  <si>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</si>
  <si>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</si>
  <si>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</si>
  <si>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</si>
  <si>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</si>
  <si>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</si>
  <si>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</si>
  <si>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</si>
  <si>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</si>
  <si>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</si>
  <si>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</si>
  <si>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</si>
  <si>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</si>
  <si>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</si>
  <si>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</si>
  <si>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</si>
  <si>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</si>
  <si>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</si>
  <si>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</si>
  <si>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</si>
  <si>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</si>
  <si>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</si>
  <si>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</si>
  <si>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</si>
  <si>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</si>
  <si>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</si>
  <si>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</si>
  <si>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</si>
  <si>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</si>
  <si>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</si>
  <si>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</si>
  <si>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</si>
  <si>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</si>
  <si>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</si>
  <si>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</si>
  <si>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</si>
  <si>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</si>
  <si>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</si>
  <si>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</si>
  <si>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</si>
  <si>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</si>
  <si>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</si>
  <si>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</si>
  <si>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</si>
  <si>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</si>
  <si>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</si>
  <si>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</si>
  <si>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</si>
  <si>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</si>
  <si>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</si>
  <si>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</si>
  <si>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</si>
  <si>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</si>
  <si>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</si>
  <si>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</si>
  <si>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</si>
  <si>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</si>
  <si>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</si>
  <si>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</si>
  <si>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</si>
  <si>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</si>
  <si>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</si>
  <si>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</si>
  <si>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</si>
  <si>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</si>
  <si>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</si>
  <si>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</si>
  <si>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</si>
  <si>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</si>
  <si>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</si>
  <si>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</si>
  <si>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</si>
  <si>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</si>
  <si>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</si>
  <si>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</si>
  <si>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</si>
  <si>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</si>
  <si>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</si>
  <si>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</si>
  <si>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</si>
  <si>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</si>
  <si>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</si>
  <si>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</si>
  <si>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</si>
  <si>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</si>
  <si>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</si>
  <si>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</si>
  <si>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</si>
  <si>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</si>
  <si>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</si>
  <si>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</si>
  <si>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</si>
  <si>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</si>
  <si>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</si>
  <si>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</si>
  <si>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</si>
  <si>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</si>
  <si>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</si>
  <si>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</si>
  <si>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</si>
  <si>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</si>
  <si>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</si>
  <si>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</si>
  <si>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</si>
  <si>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</si>
  <si>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</si>
  <si>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</si>
  <si>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</si>
  <si>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</si>
  <si>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</si>
  <si>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</si>
  <si>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</si>
  <si>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</si>
  <si>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</si>
  <si>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</si>
  <si>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</si>
  <si>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</si>
  <si>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</si>
  <si>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</si>
  <si>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</si>
  <si>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</si>
  <si>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</si>
  <si>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</si>
  <si>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</si>
  <si>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</si>
  <si>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</si>
  <si>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</si>
  <si>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</si>
  <si>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</si>
  <si>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</si>
  <si>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</si>
  <si>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</si>
  <si>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</si>
  <si>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</si>
  <si>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</si>
  <si>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</si>
  <si>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</si>
  <si>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</si>
  <si>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</si>
  <si>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</si>
  <si>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</si>
  <si>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</si>
  <si>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</si>
  <si>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</si>
  <si>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</si>
  <si>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</si>
  <si>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</si>
  <si>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</si>
  <si>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</si>
  <si>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</si>
  <si>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</si>
  <si>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</si>
  <si>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</si>
  <si>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</si>
  <si>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</si>
  <si>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</si>
  <si>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</si>
  <si>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</si>
  <si>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</si>
  <si>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</si>
  <si>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</si>
  <si>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</si>
  <si>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</si>
  <si>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</si>
  <si>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</si>
  <si>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Afgift til Forsyningssekretariatet</t>
  </si>
  <si>
    <t>Køb af ydelser og produkter fra andre vandselskaber reguleret af vandsektorloven</t>
  </si>
  <si>
    <t>Ejendomsskatter</t>
  </si>
  <si>
    <t>Erstatninger</t>
  </si>
  <si>
    <t>Resultat af kontrol med overholdelse af den økonomiske ramme for 2021</t>
  </si>
  <si>
    <t>Ingen tilknyttet virksomhed under hovedvirksomheden</t>
  </si>
  <si>
    <t>Nye tilslutninger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</si>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</sst>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left" vertical="top" wrapText="1"/>
    </xf>
    <xf numFmtId="0" fontId="8" fillId="8" borderId="6" xfId="0" applyFont="1" applyFill="1" applyBorder="1" applyAlignment="1" applyProtection="1">
      <alignment horizontal="left"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ZYcDBNwpD+Jqeqzx0dZUTvQVmspX2hwc70PsGOpWySiQAY8+QmBkPLl4ieYUre1HObdJWxWkeLBRbVNLnvqPUw==" saltValue="z/vw4+0pG83VmF61ObLKN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88594</v>
      </c>
      <c r="D10" s="14" t="s">
        <v>3</v>
      </c>
      <c r="E10" s="1"/>
      <c r="F10" s="1"/>
    </row>
    <row r="11" spans="1:6" x14ac:dyDescent="0.25">
      <c r="A11" s="1"/>
      <c r="B11" s="94" t="s">
        <v>266</v>
      </c>
      <c r="C11" s="9">
        <v>17372803.140000001</v>
      </c>
      <c r="D11" s="14" t="s">
        <v>3</v>
      </c>
      <c r="E11" s="1"/>
      <c r="F11" s="1"/>
    </row>
    <row r="12" spans="1:6" x14ac:dyDescent="0.25">
      <c r="A12" s="1"/>
      <c r="B12" s="94" t="s">
        <v>267</v>
      </c>
      <c r="C12" s="9">
        <v>132264.1</v>
      </c>
      <c r="D12" s="14" t="s">
        <v>3</v>
      </c>
      <c r="E12" s="1"/>
      <c r="F12" s="1"/>
    </row>
    <row r="13" spans="1:6" x14ac:dyDescent="0.25">
      <c r="A13" s="1"/>
      <c r="B13" s="94" t="s">
        <v>268</v>
      </c>
      <c r="C13" s="9">
        <v>17000</v>
      </c>
      <c r="D13" s="14" t="s">
        <v>3</v>
      </c>
      <c r="E13" s="1"/>
      <c r="F13" s="1"/>
    </row>
    <row r="14" spans="1:6" x14ac:dyDescent="0.25">
      <c r="A14" s="1"/>
      <c r="B14" s="32" t="s">
        <v>200</v>
      </c>
      <c r="C14" s="12">
        <f>SUM(C10:C13)</f>
        <v>17610661.240000002</v>
      </c>
      <c r="D14" s="13" t="s">
        <v>3</v>
      </c>
      <c r="E14" s="1"/>
      <c r="F14" s="1"/>
    </row>
    <row r="15" spans="1:6" x14ac:dyDescent="0.25">
      <c r="A15" s="1"/>
      <c r="B15" s="32" t="s">
        <v>201</v>
      </c>
      <c r="C15" s="12">
        <f>C14*(1+'Fane 15. Nøgletal'!C15)^2</f>
        <v>18886859.367917132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27" t="s">
        <v>117</v>
      </c>
      <c r="C18" s="128"/>
      <c r="D18" s="129"/>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27"/>
      <c r="C23" s="128"/>
      <c r="D23" s="129"/>
      <c r="E23" s="1"/>
      <c r="F23" s="1"/>
    </row>
    <row r="24" spans="1:6" x14ac:dyDescent="0.25">
      <c r="A24" s="1"/>
      <c r="B24" s="1"/>
      <c r="C24" s="1"/>
      <c r="D24" s="1"/>
      <c r="E24" s="1"/>
      <c r="F24" s="1"/>
    </row>
    <row r="25" spans="1:6" x14ac:dyDescent="0.25">
      <c r="A25" s="1"/>
      <c r="B25" s="1"/>
      <c r="C25" s="1"/>
      <c r="D25" s="1"/>
      <c r="E25" s="1"/>
      <c r="F25" s="1"/>
    </row>
    <row r="26" spans="1:6" x14ac:dyDescent="0.25">
      <c r="A26" s="1"/>
      <c r="B26" s="127" t="s">
        <v>98</v>
      </c>
      <c r="C26" s="128"/>
      <c r="D26" s="129"/>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27"/>
      <c r="C31" s="128"/>
      <c r="D31" s="129"/>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PugM0tkWRqcxeew2fP+15DJ2LWtiewTHtiOrkD/R89XkAEMkq4h+8QAgAZQugqfdEHOOAls+3JHPdoI80ljDyA==" saltValue="pGHSv881JzOLz5jyeO2R2Q=="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0"/>
  <sheetViews>
    <sheetView showGridLines="0" showWhiteSpace="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1490744.4313628972</v>
      </c>
      <c r="F9" s="14" t="s">
        <v>3</v>
      </c>
      <c r="G9" s="1"/>
    </row>
    <row r="10" spans="1:7" x14ac:dyDescent="0.25">
      <c r="A10" s="1"/>
      <c r="B10" s="137" t="s">
        <v>263</v>
      </c>
      <c r="C10" s="138"/>
      <c r="D10" s="139"/>
      <c r="E10" s="9">
        <v>1490744.4313628972</v>
      </c>
      <c r="F10" s="14" t="s">
        <v>3</v>
      </c>
      <c r="G10" s="1"/>
    </row>
    <row r="11" spans="1:7" x14ac:dyDescent="0.25">
      <c r="A11" s="1"/>
      <c r="B11" s="32"/>
      <c r="C11" s="27"/>
      <c r="D11" s="27"/>
      <c r="E11" s="27"/>
      <c r="F11" s="19"/>
      <c r="G11" s="1"/>
    </row>
    <row r="12" spans="1:7" ht="67.5" customHeight="1" x14ac:dyDescent="0.25">
      <c r="A12" s="1"/>
      <c r="B12" s="130" t="s">
        <v>287</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281</v>
      </c>
      <c r="C15" s="138"/>
      <c r="D15" s="139"/>
      <c r="E15" s="9">
        <v>0</v>
      </c>
      <c r="F15" s="14" t="s">
        <v>3</v>
      </c>
      <c r="G15" s="1"/>
    </row>
    <row r="16" spans="1:7" x14ac:dyDescent="0.25">
      <c r="A16" s="1"/>
      <c r="B16" s="137" t="s">
        <v>282</v>
      </c>
      <c r="C16" s="138"/>
      <c r="D16" s="139"/>
      <c r="E16" s="9">
        <v>0</v>
      </c>
      <c r="F16" s="14" t="s">
        <v>3</v>
      </c>
      <c r="G16" s="1"/>
    </row>
    <row r="17" spans="1:7" x14ac:dyDescent="0.25">
      <c r="A17" s="1"/>
      <c r="B17" s="32"/>
      <c r="C17" s="27"/>
      <c r="D17" s="27"/>
      <c r="E17" s="27"/>
      <c r="F17" s="19"/>
      <c r="G17" s="1"/>
    </row>
    <row r="18" spans="1:7" ht="31.5" customHeight="1" x14ac:dyDescent="0.25">
      <c r="A18" s="1"/>
      <c r="B18" s="130" t="s">
        <v>288</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67364387.197777867</v>
      </c>
      <c r="F21" s="14" t="s">
        <v>3</v>
      </c>
      <c r="G21" s="1"/>
    </row>
    <row r="22" spans="1:7" x14ac:dyDescent="0.25">
      <c r="A22" s="1"/>
      <c r="B22" s="91" t="s">
        <v>207</v>
      </c>
      <c r="C22" s="92"/>
      <c r="D22" s="93"/>
      <c r="E22" s="9">
        <v>66962277</v>
      </c>
      <c r="F22" s="14" t="s">
        <v>3</v>
      </c>
      <c r="G22" s="1"/>
    </row>
    <row r="23" spans="1:7" x14ac:dyDescent="0.25">
      <c r="A23" s="1"/>
      <c r="B23" s="91" t="s">
        <v>33</v>
      </c>
      <c r="C23" s="92"/>
      <c r="D23" s="93"/>
      <c r="E23" s="9">
        <v>0</v>
      </c>
      <c r="F23" s="14" t="s">
        <v>3</v>
      </c>
      <c r="G23" s="1"/>
    </row>
    <row r="24" spans="1:7" x14ac:dyDescent="0.25">
      <c r="A24" s="1"/>
      <c r="B24" s="89" t="s">
        <v>269</v>
      </c>
      <c r="C24" s="90"/>
      <c r="D24" s="96"/>
      <c r="E24" s="72">
        <f>E21-(E22-E23)</f>
        <v>402110.19777786732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283</v>
      </c>
      <c r="C27" s="128"/>
      <c r="D27" s="128"/>
      <c r="E27" s="128"/>
      <c r="F27" s="129"/>
      <c r="G27" s="1"/>
    </row>
    <row r="28" spans="1:7" x14ac:dyDescent="0.25">
      <c r="A28" s="1"/>
      <c r="B28" s="133" t="s">
        <v>284</v>
      </c>
      <c r="C28" s="134"/>
      <c r="D28" s="154"/>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5" t="s">
        <v>143</v>
      </c>
      <c r="C32" s="156"/>
      <c r="D32" s="157"/>
      <c r="E32" s="74">
        <f>IF(AND(E9&gt;0,(E9+E24)&gt;0),0,IF(AND(E9&gt;0,(E9+E24)&lt;0),(E9+E24),IF(AND(E9&lt;0,E24&lt;0),E24,0)))</f>
        <v>0</v>
      </c>
      <c r="F32" s="14" t="s">
        <v>3</v>
      </c>
      <c r="G32" s="1"/>
    </row>
    <row r="33" spans="1:7" x14ac:dyDescent="0.25">
      <c r="A33" s="1"/>
      <c r="B33" s="155" t="s">
        <v>102</v>
      </c>
      <c r="C33" s="156"/>
      <c r="D33" s="157"/>
      <c r="E33" s="9">
        <v>4</v>
      </c>
      <c r="F33" s="14" t="s">
        <v>20</v>
      </c>
      <c r="G33" s="1"/>
    </row>
    <row r="34" spans="1:7" x14ac:dyDescent="0.25">
      <c r="A34" s="1"/>
      <c r="B34" s="150" t="s">
        <v>144</v>
      </c>
      <c r="C34" s="150"/>
      <c r="D34" s="150"/>
      <c r="E34" s="73">
        <f>E32/E33</f>
        <v>0</v>
      </c>
      <c r="F34" s="17" t="s">
        <v>3</v>
      </c>
      <c r="G34" s="1"/>
    </row>
    <row r="35" spans="1:7" x14ac:dyDescent="0.25">
      <c r="A35" s="1"/>
      <c r="B35" s="151"/>
      <c r="C35" s="152"/>
      <c r="D35" s="152"/>
      <c r="E35" s="152"/>
      <c r="F35" s="153"/>
      <c r="G35" s="1"/>
    </row>
    <row r="36" spans="1:7" x14ac:dyDescent="0.25">
      <c r="A36" s="1"/>
      <c r="B36" s="1"/>
      <c r="C36" s="1"/>
      <c r="D36" s="1"/>
      <c r="E36" s="1"/>
      <c r="F36" s="1"/>
      <c r="G36" s="1"/>
    </row>
    <row r="37" spans="1:7" x14ac:dyDescent="0.25">
      <c r="A37" s="1"/>
      <c r="B37" s="1"/>
      <c r="C37" s="1"/>
      <c r="D37" s="1"/>
      <c r="E37" s="1"/>
      <c r="F37" s="1"/>
      <c r="G37" s="1"/>
    </row>
    <row r="38" spans="1:7" x14ac:dyDescent="0.25">
      <c r="B38" s="49"/>
      <c r="C38" s="49"/>
      <c r="D38" s="49"/>
      <c r="E38" s="49"/>
      <c r="F38" s="49"/>
    </row>
    <row r="39" spans="1:7" x14ac:dyDescent="0.25">
      <c r="A39" s="49"/>
      <c r="B39" s="49"/>
      <c r="C39" s="49"/>
      <c r="D39" s="49"/>
      <c r="E39" s="49"/>
      <c r="F39" s="49"/>
      <c r="G39" s="49"/>
    </row>
    <row r="40" spans="1:7" x14ac:dyDescent="0.25">
      <c r="A40" s="49"/>
      <c r="B40" s="49"/>
      <c r="C40" s="49"/>
      <c r="D40" s="49"/>
      <c r="E40" s="49"/>
      <c r="F40" s="49"/>
      <c r="G40" s="49"/>
    </row>
  </sheetData>
  <sheetProtection algorithmName="SHA-512" hashValue="iyYXW/jOCg0Sqm3vHa1y8VARV0tzsbba9SlDEyMhjYXDwZjHPXFc9TkWVqlfhrklz0F+Y9Gpz/81mm1pwMyiQA==" saltValue="kmKlS6IPA3TAsNLvdZoXaA=="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8" t="s">
        <v>272</v>
      </c>
      <c r="C10" s="159"/>
      <c r="D10" s="159"/>
      <c r="E10" s="159"/>
      <c r="F10" s="160"/>
      <c r="G10" s="9">
        <v>0</v>
      </c>
      <c r="H10" s="9" t="s">
        <v>3</v>
      </c>
      <c r="I10" s="1"/>
    </row>
    <row r="11" spans="1:9" x14ac:dyDescent="0.25">
      <c r="A11" s="1"/>
      <c r="B11" s="158" t="s">
        <v>273</v>
      </c>
      <c r="C11" s="159"/>
      <c r="D11" s="159"/>
      <c r="E11" s="159"/>
      <c r="F11" s="160"/>
      <c r="G11" s="9">
        <v>0</v>
      </c>
      <c r="H11" s="9" t="s">
        <v>3</v>
      </c>
      <c r="I11" s="1"/>
    </row>
    <row r="12" spans="1:9" x14ac:dyDescent="0.25">
      <c r="A12" s="1"/>
      <c r="B12" s="158" t="s">
        <v>274</v>
      </c>
      <c r="C12" s="159"/>
      <c r="D12" s="159"/>
      <c r="E12" s="159"/>
      <c r="F12" s="160"/>
      <c r="G12" s="9">
        <v>0</v>
      </c>
      <c r="H12" s="9" t="s">
        <v>3</v>
      </c>
      <c r="I12" s="1"/>
    </row>
    <row r="13" spans="1:9" x14ac:dyDescent="0.25">
      <c r="A13" s="1"/>
      <c r="B13" s="158" t="s">
        <v>275</v>
      </c>
      <c r="C13" s="159"/>
      <c r="D13" s="159"/>
      <c r="E13" s="159"/>
      <c r="F13" s="160"/>
      <c r="G13" s="9">
        <v>0</v>
      </c>
      <c r="H13" s="9" t="s">
        <v>3</v>
      </c>
      <c r="I13" s="1"/>
    </row>
    <row r="14" spans="1:9" x14ac:dyDescent="0.25">
      <c r="A14" s="1"/>
      <c r="B14" s="158" t="s">
        <v>276</v>
      </c>
      <c r="C14" s="159"/>
      <c r="D14" s="159"/>
      <c r="E14" s="159"/>
      <c r="F14" s="160"/>
      <c r="G14" s="9">
        <v>0</v>
      </c>
      <c r="H14" s="9" t="s">
        <v>3</v>
      </c>
      <c r="I14" s="1"/>
    </row>
    <row r="15" spans="1:9" x14ac:dyDescent="0.25">
      <c r="A15" s="1"/>
      <c r="B15" s="158" t="s">
        <v>277</v>
      </c>
      <c r="C15" s="159"/>
      <c r="D15" s="159"/>
      <c r="E15" s="159"/>
      <c r="F15" s="160"/>
      <c r="G15" s="9">
        <v>0</v>
      </c>
      <c r="H15" s="9" t="s">
        <v>3</v>
      </c>
      <c r="I15" s="1"/>
    </row>
    <row r="16" spans="1:9" x14ac:dyDescent="0.25">
      <c r="A16" s="1"/>
      <c r="B16" s="158" t="s">
        <v>278</v>
      </c>
      <c r="C16" s="159"/>
      <c r="D16" s="159"/>
      <c r="E16" s="159"/>
      <c r="F16" s="160"/>
      <c r="G16" s="9">
        <v>0</v>
      </c>
      <c r="H16" s="9" t="s">
        <v>3</v>
      </c>
      <c r="I16" s="1"/>
    </row>
    <row r="17" spans="1:9" x14ac:dyDescent="0.25">
      <c r="A17" s="1"/>
      <c r="B17" s="158" t="s">
        <v>279</v>
      </c>
      <c r="C17" s="159"/>
      <c r="D17" s="159"/>
      <c r="E17" s="159"/>
      <c r="F17" s="160"/>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UcDKBMTFitmBFIjeoGhGWreOpU80IFv47EOpEiNtxSLIEs1mcNHNQXsfD0UpyD4S2SzFOAk/EoQGJ+68aVh9Bg==" saltValue="AHr9p9kKed1OucTMk7GUnQ=="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4"/>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0</v>
      </c>
      <c r="F14" s="8" t="s">
        <v>3</v>
      </c>
      <c r="G14" s="1"/>
    </row>
    <row r="15" spans="1:7" x14ac:dyDescent="0.25">
      <c r="A15" s="1"/>
      <c r="B15" s="130" t="s">
        <v>211</v>
      </c>
      <c r="C15" s="131"/>
      <c r="D15" s="132"/>
      <c r="E15" s="9">
        <v>0</v>
      </c>
      <c r="F15" s="8" t="s">
        <v>3</v>
      </c>
      <c r="G15" s="1"/>
    </row>
    <row r="16" spans="1:7" x14ac:dyDescent="0.25">
      <c r="A16" s="1"/>
      <c r="B16" s="133" t="s">
        <v>101</v>
      </c>
      <c r="C16" s="134"/>
      <c r="D16" s="154"/>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Tpl7Cy6FBg5jo+/COtWR4JbSApSWIPBW3C0+QrLyggdNhY1zDgJ8TUEx3l0W3xf/6Hg9ZYHq3uOswGKYkz9IQ==" saltValue="SyVH55IGQLLsC80bZ/vfB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1" t="s">
        <v>245</v>
      </c>
      <c r="E9" s="162"/>
      <c r="F9" s="161" t="s">
        <v>2</v>
      </c>
      <c r="G9" s="162"/>
      <c r="H9" s="161" t="s">
        <v>244</v>
      </c>
      <c r="I9" s="162"/>
      <c r="J9" s="161" t="s">
        <v>30</v>
      </c>
      <c r="K9" s="162"/>
      <c r="L9" s="1"/>
    </row>
    <row r="10" spans="1:12" x14ac:dyDescent="0.25">
      <c r="A10" s="1"/>
      <c r="B10" s="97" t="s">
        <v>280</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kTj2RHIoNpTMuqQ3R9DWFYmIKXtE6FWyEbcTdp4LqMeFkcd2mR6gsDxXJimyRkVdwDO+69c9x+Wvikk2XRbxTg==" saltValue="S3nP/jXz7lr4BtfQGdQla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271</v>
      </c>
      <c r="C11" s="21">
        <v>66411</v>
      </c>
      <c r="D11" s="14" t="s">
        <v>3</v>
      </c>
      <c r="E11" s="9">
        <v>142494</v>
      </c>
      <c r="F11" s="14" t="s">
        <v>3</v>
      </c>
      <c r="G11" s="1"/>
    </row>
    <row r="12" spans="1:7" x14ac:dyDescent="0.25">
      <c r="A12" s="1"/>
      <c r="B12" s="32" t="s">
        <v>156</v>
      </c>
      <c r="C12" s="12">
        <f>SUM(C10:C11)</f>
        <v>66411</v>
      </c>
      <c r="D12" s="13" t="s">
        <v>3</v>
      </c>
      <c r="E12" s="12">
        <f>SUM(E10:E11)</f>
        <v>142494</v>
      </c>
      <c r="F12" s="13" t="s">
        <v>3</v>
      </c>
      <c r="G12" s="1"/>
    </row>
    <row r="13" spans="1:7" x14ac:dyDescent="0.25">
      <c r="A13" s="1"/>
      <c r="B13" s="32" t="s">
        <v>213</v>
      </c>
      <c r="C13" s="12">
        <f>C12*(1+'Fane 15. Nøgletal'!C15)</f>
        <v>68775.231599999999</v>
      </c>
      <c r="D13" s="13" t="s">
        <v>3</v>
      </c>
      <c r="E13" s="12">
        <f>E12*(1+'Fane 15. Nøgletal'!C15)</f>
        <v>147566.78640000001</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x6rptQan5euc1FFXb5TOHcQJz8D54WQueP6khQz04hAEu0pgEN7CYqCevnT6W5YkRiBnEIUP5iZQzykRWDovg==" saltValue="A/Qfi2cf4HoxSgcEvRMJD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285</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3"/>
      <c r="C14" s="163"/>
      <c r="D14" s="163"/>
      <c r="E14" s="163"/>
      <c r="F14" s="163"/>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3"/>
      <c r="C28" s="163"/>
      <c r="D28" s="163"/>
      <c r="E28" s="163"/>
      <c r="F28" s="163"/>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5+4tIG/1bSluJozhLOE5H9OZxgkq8aL5MmqBk91HjhFOrx+l/AIIQORMchuddhJpDfrXAzBqpqYrk4fUNFeFqA==" saltValue="+AiFl3oAkv17x+wN2opvKA=="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8" t="s">
        <v>224</v>
      </c>
      <c r="C10" s="159"/>
      <c r="D10" s="160"/>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8" t="s">
        <v>224</v>
      </c>
      <c r="C16" s="159"/>
      <c r="D16" s="160"/>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8" t="s">
        <v>224</v>
      </c>
      <c r="C22" s="159"/>
      <c r="D22" s="160"/>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8" t="s">
        <v>224</v>
      </c>
      <c r="C28" s="159"/>
      <c r="D28" s="160"/>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2CR6KkrrgIsXc8lfdvEgAxErxuSehrlG4XtWrbXnF2OlC9GDu/nEQLt8G2mmn1BneVQtkEK+HOEC79T8/DYlg==" saltValue="KxYRI6MZEVdOew+Kbh59U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hnRtne8DBinLGOEuGXjhyRXJpWEghjOoYrW2FDTsInhudcV2T/ONsmHV9hi7W1Re+WTngnjjoBFJXnAhB/D0lQ==" saltValue="CLCwzPV0+OBo2PKMjlg7W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3"/>
      <c r="C15" s="163"/>
      <c r="D15" s="163"/>
      <c r="E15" s="163"/>
      <c r="F15" s="163"/>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3"/>
      <c r="C21" s="163"/>
      <c r="D21" s="163"/>
      <c r="E21" s="163"/>
      <c r="F21" s="163"/>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3"/>
      <c r="C27" s="163"/>
      <c r="D27" s="163"/>
      <c r="E27" s="163"/>
      <c r="F27" s="163"/>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Be/m4W3Jo7gBf15y+MERihbadNFPWnPneMD0WPMa/L4lkKfF0qyz5MJIQoF+4yuMj5IXK5RYJnTCK9ova9WDsw==" saltValue="NAdFS3RLPB4wfKWXzCP2+A=="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6"/>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49515744.424308062</v>
      </c>
      <c r="D9" s="8" t="s">
        <v>3</v>
      </c>
      <c r="E9" s="1"/>
    </row>
    <row r="10" spans="1:5" ht="17.25" customHeight="1" x14ac:dyDescent="0.25">
      <c r="A10" s="1"/>
      <c r="B10" s="83" t="s">
        <v>39</v>
      </c>
      <c r="C10" s="7">
        <f>'Fane 11.1. Varige tillæg'!C13</f>
        <v>68775.231599999999</v>
      </c>
      <c r="D10" s="8" t="s">
        <v>3</v>
      </c>
      <c r="E10" s="1"/>
    </row>
    <row r="11" spans="1:5" ht="17.25" customHeight="1" x14ac:dyDescent="0.25">
      <c r="A11" s="1"/>
      <c r="B11" s="83" t="s">
        <v>40</v>
      </c>
      <c r="C11" s="9">
        <f>'Fane 11.1. Varige tillæg'!E13</f>
        <v>147566.78640000001</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171103.73244101659</v>
      </c>
      <c r="D16" s="8" t="s">
        <v>3</v>
      </c>
      <c r="E16" s="1"/>
    </row>
    <row r="17" spans="1:5" ht="17.25" customHeight="1" x14ac:dyDescent="0.25">
      <c r="A17" s="1"/>
      <c r="B17" s="83" t="s">
        <v>10</v>
      </c>
      <c r="C17" s="44">
        <f>-SUM(C9,C10:C16)*'Fane 5. Individuelt eff. krav'!G9</f>
        <v>-776910.0590000361</v>
      </c>
      <c r="D17" s="8" t="s">
        <v>3</v>
      </c>
      <c r="E17" s="1"/>
    </row>
    <row r="18" spans="1:5" ht="17.25" customHeight="1" x14ac:dyDescent="0.25">
      <c r="A18" s="1"/>
      <c r="B18" s="83" t="s">
        <v>24</v>
      </c>
      <c r="C18" s="44">
        <f>-'Fane 4.1. Gen. krav - drift'!G45</f>
        <v>-149501.85471778119</v>
      </c>
      <c r="D18" s="8" t="s">
        <v>3</v>
      </c>
      <c r="E18" s="1"/>
    </row>
    <row r="19" spans="1:5" ht="17.25" customHeight="1" x14ac:dyDescent="0.25">
      <c r="A19" s="1"/>
      <c r="B19" s="83" t="s">
        <v>25</v>
      </c>
      <c r="C19" s="44">
        <f>-'Fane 4.2. Gen. krav - anlæg'!G43</f>
        <v>-655154.29755163786</v>
      </c>
      <c r="D19" s="8" t="s">
        <v>3</v>
      </c>
      <c r="E19" s="48"/>
    </row>
    <row r="20" spans="1:5" ht="17.25" customHeight="1" x14ac:dyDescent="0.25">
      <c r="A20" s="1"/>
      <c r="B20" s="89" t="s">
        <v>21</v>
      </c>
      <c r="C20" s="10">
        <f>SUM(C9:C19)</f>
        <v>48321623.963479616</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18886859.367917132</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67208483.331396744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sheetData>
  <sheetProtection algorithmName="SHA-512" hashValue="UYUyzDvxBQLLxV1piuOuGjsZGMfAh/3Tarlg55pShT+KEkUfQxtWtysATlo1MKRmVY80WzL01f3n69U5Zi/27w==" saltValue="zxPlSA5ENLYxIvyNlX2yS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64CX+qy918VXJ3nxE/w0IluoLgnkBTk5wf8P9f23jprS1DmQfA3pUqJh6xehAe/JSKU/OlF0xpuloWy/OJ8tOQ==" saltValue="ZOHUShVH2lgojwrqvyIdN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48321623.963479616</v>
      </c>
      <c r="D9" s="8" t="s">
        <v>3</v>
      </c>
      <c r="E9" s="1"/>
    </row>
    <row r="10" spans="1:5" ht="15" customHeight="1" x14ac:dyDescent="0.25">
      <c r="A10" s="1"/>
      <c r="B10" s="25" t="s">
        <v>19</v>
      </c>
      <c r="C10" s="7">
        <f>SUM(C9:C9)*'Fane 15. Nøgletal'!C15</f>
        <v>1720249.8130998744</v>
      </c>
      <c r="D10" s="8" t="s">
        <v>3</v>
      </c>
      <c r="E10" s="1"/>
    </row>
    <row r="11" spans="1:5" ht="15" customHeight="1" x14ac:dyDescent="0.25">
      <c r="A11" s="1"/>
      <c r="B11" s="25" t="s">
        <v>10</v>
      </c>
      <c r="C11" s="9">
        <f>-SUM(C9:C10)*'Fane 5. Individuelt eff. krav'!G9</f>
        <v>-779069.1330973655</v>
      </c>
      <c r="D11" s="8" t="s">
        <v>3</v>
      </c>
      <c r="E11" s="1"/>
    </row>
    <row r="12" spans="1:5" ht="15" customHeight="1" x14ac:dyDescent="0.25">
      <c r="A12" s="1"/>
      <c r="B12" s="25" t="s">
        <v>24</v>
      </c>
      <c r="C12" s="9">
        <f>-'Fane 4.1. Gen. krav - drift'!G53</f>
        <v>-151727.63833081952</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49111077.005151309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19559231.561414983</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68670308.566566288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BmFum7rDsvxTh1DpSssWXKGQsfJFBT4MuLfyKyypZYW5Y4gIY4uJirzw8DDpty6GxPhBLV020xIM8697diTmhQ==" saltValue="hcZgDzGTT/e2+4pGHz/v6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49111077.005151309</v>
      </c>
      <c r="D9" s="8" t="s">
        <v>3</v>
      </c>
      <c r="E9" s="1"/>
    </row>
    <row r="10" spans="1:5" ht="15" customHeight="1" x14ac:dyDescent="0.25">
      <c r="A10" s="1"/>
      <c r="B10" s="25" t="s">
        <v>19</v>
      </c>
      <c r="C10" s="7">
        <f>SUM(C9:C9)*'Fane 15. Nøgletal'!C15</f>
        <v>1748354.3413833866</v>
      </c>
      <c r="D10" s="8" t="s">
        <v>3</v>
      </c>
      <c r="E10" s="1"/>
    </row>
    <row r="11" spans="1:5" ht="15" customHeight="1" x14ac:dyDescent="0.25">
      <c r="A11" s="1"/>
      <c r="B11" s="25" t="s">
        <v>10</v>
      </c>
      <c r="C11" s="9">
        <f>-SUM(C9:C10)*'Fane 5. Individuelt eff. krav'!G9</f>
        <v>-791797.15103941725</v>
      </c>
      <c r="D11" s="8" t="s">
        <v>3</v>
      </c>
      <c r="E11" s="1"/>
    </row>
    <row r="12" spans="1:5" ht="15" customHeight="1" x14ac:dyDescent="0.25">
      <c r="A12" s="1"/>
      <c r="B12" s="25" t="s">
        <v>24</v>
      </c>
      <c r="C12" s="9">
        <f>-'Fane 4.1. Gen. krav - drift'!G58</f>
        <v>-153986.55941028881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49913647.636084996</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20255540.205001358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70169187.841086358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XQf5s3Mbronb1B20I5noviFEf6o3zHTHwsNsJ6WKfHOh3ALfNU9bSirD17OuxXKbXQPhmVb09exEusN0uX396A==" saltValue="x6EuPo2XGM8P/u5UJY9fj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49913647.636084996</v>
      </c>
      <c r="D9" s="8" t="s">
        <v>3</v>
      </c>
      <c r="E9" s="1"/>
    </row>
    <row r="10" spans="1:5" ht="15" customHeight="1" x14ac:dyDescent="0.25">
      <c r="A10" s="1"/>
      <c r="B10" s="25" t="s">
        <v>19</v>
      </c>
      <c r="C10" s="7">
        <f>SUM(C9:C9)*'Fane 15. Nøgletal'!C15</f>
        <v>1776925.8558446257</v>
      </c>
      <c r="D10" s="8" t="s">
        <v>3</v>
      </c>
      <c r="E10" s="1"/>
    </row>
    <row r="11" spans="1:5" ht="15" customHeight="1" x14ac:dyDescent="0.25">
      <c r="A11" s="1"/>
      <c r="B11" s="25" t="s">
        <v>10</v>
      </c>
      <c r="C11" s="9">
        <f>-SUM(C9:C10)*'Fane 5. Individuelt eff. krav'!G9</f>
        <v>-804736.65833253856</v>
      </c>
      <c r="D11" s="8" t="s">
        <v>3</v>
      </c>
      <c r="E11" s="1"/>
    </row>
    <row r="12" spans="1:5" ht="15" customHeight="1" x14ac:dyDescent="0.25">
      <c r="A12" s="1"/>
      <c r="B12" s="25" t="s">
        <v>24</v>
      </c>
      <c r="C12" s="9">
        <f>-'Fane 4.1. Gen. krav - drift'!G63</f>
        <v>-156279.11130678919</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50729557.722290292</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20976637.436299406</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71706195.158589691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r45GdVD48LaFB/Av9FdALteNj0ISc5VEg+QmzqqTgUHI8p1+HbxmUo21SDcUwJlJ9kMqsYpWUb5S4OV3rbAF3A==" saltValue="mhlPD9KkQNMT8HHZXk99K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0"/>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0" t="s">
        <v>192</v>
      </c>
      <c r="C9" s="131"/>
      <c r="D9" s="132"/>
      <c r="E9" s="7">
        <v>49328880.00693126</v>
      </c>
      <c r="F9" s="8" t="s">
        <v>3</v>
      </c>
      <c r="G9" s="1"/>
    </row>
    <row r="10" spans="1:7" ht="15" customHeight="1" x14ac:dyDescent="0.25">
      <c r="A10" s="1"/>
      <c r="B10" s="121" t="s">
        <v>39</v>
      </c>
      <c r="C10" s="122"/>
      <c r="D10" s="123"/>
      <c r="E10" s="7">
        <v>220834.35640000002</v>
      </c>
      <c r="F10" s="8" t="s">
        <v>3</v>
      </c>
      <c r="G10" s="1"/>
    </row>
    <row r="11" spans="1:7" ht="15" customHeight="1" x14ac:dyDescent="0.25">
      <c r="A11" s="1"/>
      <c r="B11" s="121" t="s">
        <v>40</v>
      </c>
      <c r="C11" s="122"/>
      <c r="D11" s="123"/>
      <c r="E11" s="9">
        <v>1407216.5404000001</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168157.87198231314</v>
      </c>
      <c r="F16" s="8" t="s">
        <v>3</v>
      </c>
      <c r="G16" s="1"/>
    </row>
    <row r="17" spans="1:7" ht="15" customHeight="1" x14ac:dyDescent="0.25">
      <c r="A17" s="1"/>
      <c r="B17" s="130" t="s">
        <v>10</v>
      </c>
      <c r="C17" s="131"/>
      <c r="D17" s="132"/>
      <c r="E17" s="9">
        <v>-795932.99743028765</v>
      </c>
      <c r="F17" s="8" t="s">
        <v>3</v>
      </c>
      <c r="G17" s="1"/>
    </row>
    <row r="18" spans="1:7" ht="15" customHeight="1" x14ac:dyDescent="0.25">
      <c r="A18" s="1"/>
      <c r="B18" s="130" t="s">
        <v>24</v>
      </c>
      <c r="C18" s="131"/>
      <c r="D18" s="132"/>
      <c r="E18" s="9">
        <f>-'Fane 4.1. Gen. krav - drift'!G39</f>
        <v>-150602.38165165362</v>
      </c>
      <c r="F18" s="8" t="s">
        <v>3</v>
      </c>
      <c r="G18" s="1"/>
    </row>
    <row r="19" spans="1:7" ht="15" customHeight="1" x14ac:dyDescent="0.25">
      <c r="A19" s="1"/>
      <c r="B19" s="130" t="s">
        <v>25</v>
      </c>
      <c r="C19" s="131"/>
      <c r="D19" s="132"/>
      <c r="E19" s="9">
        <f>-'Fane 4.2. Gen. krav - anlæg'!G37</f>
        <v>-662808.97232356702</v>
      </c>
      <c r="F19" s="8" t="s">
        <v>3</v>
      </c>
      <c r="G19" s="1"/>
    </row>
    <row r="20" spans="1:7" ht="15" customHeight="1" x14ac:dyDescent="0.25">
      <c r="A20" s="1"/>
      <c r="B20" s="54" t="s">
        <v>21</v>
      </c>
      <c r="C20" s="90"/>
      <c r="D20" s="96"/>
      <c r="E20" s="51">
        <f>SUM(E9:E19)</f>
        <v>49515744.424308062</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18071885.623737112</v>
      </c>
      <c r="F22" s="11" t="s">
        <v>3</v>
      </c>
      <c r="G22" s="1"/>
    </row>
    <row r="23" spans="1:7" ht="15" customHeight="1" x14ac:dyDescent="0.25">
      <c r="A23" s="1"/>
      <c r="B23" s="127" t="s">
        <v>86</v>
      </c>
      <c r="C23" s="128"/>
      <c r="D23" s="129"/>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648580.89571980294</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f>SUM(E26:E27)</f>
        <v>648580.89571980294</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0</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0</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68236210.943764985</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49"/>
      <c r="B47" s="49"/>
      <c r="C47" s="49"/>
      <c r="D47" s="49"/>
      <c r="E47" s="49"/>
      <c r="F47" s="49"/>
      <c r="G47" s="49"/>
    </row>
    <row r="48" spans="1:7" x14ac:dyDescent="0.25">
      <c r="A48" s="49"/>
      <c r="B48" s="49"/>
      <c r="C48" s="49"/>
      <c r="D48" s="49"/>
      <c r="E48" s="49"/>
      <c r="F48" s="49"/>
      <c r="G48" s="49"/>
    </row>
    <row r="49" spans="1:7" x14ac:dyDescent="0.25">
      <c r="A49" s="49"/>
      <c r="B49" s="49"/>
      <c r="C49" s="49"/>
      <c r="D49" s="49"/>
      <c r="E49" s="49"/>
      <c r="F49" s="49"/>
      <c r="G49" s="49"/>
    </row>
    <row r="50" spans="1:7" x14ac:dyDescent="0.25">
      <c r="A50" s="49"/>
      <c r="B50" s="49"/>
      <c r="C50" s="49"/>
      <c r="D50" s="49"/>
      <c r="E50" s="49"/>
      <c r="F50" s="49"/>
      <c r="G50" s="49"/>
    </row>
  </sheetData>
  <sheetProtection algorithmName="SHA-512" hashValue="Gx+kGmUM2CSfTrio1QgbT6yye4YVQdyPmQtCSL0ISNLBuqsrU4kSFY56+1ouukl6nAaQ7hrIOhg3KD6I0wxXTw==" saltValue="gRvUyPKddQx1kH9NCGupYA=="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7252280</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145045.6</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7231611.0020000013</v>
      </c>
      <c r="H11" s="14" t="s">
        <v>3</v>
      </c>
      <c r="I11" s="1"/>
    </row>
    <row r="12" spans="1:9" ht="15" customHeight="1" x14ac:dyDescent="0.25">
      <c r="A12" s="1"/>
      <c r="B12" s="137" t="s">
        <v>121</v>
      </c>
      <c r="C12" s="138"/>
      <c r="D12" s="138"/>
      <c r="E12" s="138"/>
      <c r="F12" s="139"/>
      <c r="G12" s="77">
        <v>0</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144632.22004000001</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7211000.9106443021</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144220.01821288603</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7205996.4760123156</v>
      </c>
      <c r="H25" s="14" t="s">
        <v>3</v>
      </c>
      <c r="I25" s="1"/>
    </row>
    <row r="26" spans="1:9" x14ac:dyDescent="0.25">
      <c r="A26" s="1"/>
      <c r="B26" s="140" t="s">
        <v>50</v>
      </c>
      <c r="C26" s="141"/>
      <c r="D26" s="141"/>
      <c r="E26" s="141"/>
      <c r="F26" s="142"/>
      <c r="G26" s="77">
        <v>101181.77903790001</v>
      </c>
      <c r="H26" s="14" t="s">
        <v>3</v>
      </c>
      <c r="I26" s="1"/>
    </row>
    <row r="27" spans="1:9" x14ac:dyDescent="0.25">
      <c r="A27" s="1"/>
      <c r="B27" s="137" t="s">
        <v>51</v>
      </c>
      <c r="C27" s="138"/>
      <c r="D27" s="138"/>
      <c r="E27" s="138"/>
      <c r="F27" s="139"/>
      <c r="G27" s="76">
        <f>(G25+G26)*'Fane 15. Nøgletal'!C31</f>
        <v>146143.56510100432</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7302107.0733412113</v>
      </c>
      <c r="H31" s="14" t="s">
        <v>3</v>
      </c>
      <c r="I31" s="1"/>
    </row>
    <row r="32" spans="1:9" x14ac:dyDescent="0.25">
      <c r="A32" s="1"/>
      <c r="B32" s="137" t="s">
        <v>137</v>
      </c>
      <c r="C32" s="138"/>
      <c r="D32" s="138"/>
      <c r="E32" s="138"/>
      <c r="F32" s="139"/>
      <c r="G32" s="76">
        <v>131073.60674771998</v>
      </c>
      <c r="H32" s="14" t="s">
        <v>3</v>
      </c>
      <c r="I32" s="1"/>
    </row>
    <row r="33" spans="1:9" x14ac:dyDescent="0.25">
      <c r="A33" s="1"/>
      <c r="B33" s="137" t="s">
        <v>60</v>
      </c>
      <c r="C33" s="138"/>
      <c r="D33" s="138"/>
      <c r="E33" s="138"/>
      <c r="F33" s="139"/>
      <c r="G33" s="76">
        <f>(G31+G32)*'Fane 15. Nøgletal'!C31</f>
        <v>148663.61360177863</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7308555.9728065608</v>
      </c>
      <c r="H37" s="14" t="s">
        <v>3</v>
      </c>
      <c r="I37" s="1"/>
    </row>
    <row r="38" spans="1:9" x14ac:dyDescent="0.25">
      <c r="A38" s="1"/>
      <c r="B38" s="137" t="s">
        <v>164</v>
      </c>
      <c r="C38" s="138"/>
      <c r="D38" s="138"/>
      <c r="E38" s="138"/>
      <c r="F38" s="139"/>
      <c r="G38" s="76">
        <v>221563.10977612005</v>
      </c>
      <c r="H38" s="14" t="s">
        <v>3</v>
      </c>
      <c r="I38" s="1"/>
    </row>
    <row r="39" spans="1:9" x14ac:dyDescent="0.25">
      <c r="A39" s="1"/>
      <c r="B39" s="137" t="s">
        <v>162</v>
      </c>
      <c r="C39" s="138"/>
      <c r="D39" s="138"/>
      <c r="E39" s="138"/>
      <c r="F39" s="139"/>
      <c r="G39" s="76">
        <f>(G37+G38)*'Fane 15. Nøgletal'!C31</f>
        <v>150602.38165165362</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7403869.1060440997</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71223.62984496</v>
      </c>
      <c r="H44" s="14" t="s">
        <v>3</v>
      </c>
      <c r="I44" s="1"/>
    </row>
    <row r="45" spans="1:9" x14ac:dyDescent="0.25">
      <c r="A45" s="1"/>
      <c r="B45" s="137" t="s">
        <v>163</v>
      </c>
      <c r="C45" s="138"/>
      <c r="D45" s="138"/>
      <c r="E45" s="138"/>
      <c r="F45" s="139"/>
      <c r="G45" s="76">
        <f>SUM(G43:G44)*'Fane 15. Nøgletal'!C31</f>
        <v>149501.85471778119</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7586381.9165409766</v>
      </c>
      <c r="H52" s="14" t="s">
        <v>3</v>
      </c>
      <c r="I52" s="1"/>
    </row>
    <row r="53" spans="1:9" x14ac:dyDescent="0.25">
      <c r="A53" s="1"/>
      <c r="B53" s="137" t="s">
        <v>138</v>
      </c>
      <c r="C53" s="138"/>
      <c r="D53" s="138"/>
      <c r="E53" s="138"/>
      <c r="F53" s="139"/>
      <c r="G53" s="76">
        <f>(G52)*'Fane 15. Nøgletal'!C31</f>
        <v>151727.63833081952</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7699327.97051444</v>
      </c>
      <c r="H57" s="14" t="s">
        <v>3</v>
      </c>
      <c r="I57" s="1"/>
    </row>
    <row r="58" spans="1:9" x14ac:dyDescent="0.25">
      <c r="A58" s="1"/>
      <c r="B58" s="91" t="s">
        <v>152</v>
      </c>
      <c r="C58" s="92"/>
      <c r="D58" s="92"/>
      <c r="E58" s="92"/>
      <c r="F58" s="93"/>
      <c r="G58" s="76">
        <f>(G57)*'Fane 15. Nøgletal'!C31</f>
        <v>153986.55941028881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7813955.5653394591</v>
      </c>
      <c r="H62" s="14" t="s">
        <v>3</v>
      </c>
      <c r="I62" s="1"/>
    </row>
    <row r="63" spans="1:9" x14ac:dyDescent="0.25">
      <c r="A63" s="1"/>
      <c r="B63" s="91" t="s">
        <v>195</v>
      </c>
      <c r="C63" s="92"/>
      <c r="D63" s="92"/>
      <c r="E63" s="92"/>
      <c r="F63" s="93"/>
      <c r="G63" s="76">
        <f>(G62)*'Fane 15. Nøgletal'!C31</f>
        <v>156279.11130678919</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IPygheFp8RH13M1YC5mgC+Q1+xXj/CWMmOs1EmCOZE/mX15Wyidxi+CLaodVNhIXS+YTHOxivpaGTQi3LJrOdA==" saltValue="VoIaNhnhsNNhVP90dl0rC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42729460</v>
      </c>
      <c r="H5" s="14" t="s">
        <v>3</v>
      </c>
      <c r="I5" s="1"/>
    </row>
    <row r="6" spans="1:9" x14ac:dyDescent="0.25">
      <c r="A6" s="1"/>
      <c r="B6" s="137" t="s">
        <v>57</v>
      </c>
      <c r="C6" s="138"/>
      <c r="D6" s="138"/>
      <c r="E6" s="138"/>
      <c r="F6" s="139"/>
      <c r="G6" s="76">
        <f>G5*'Fane 15. Nøgletal'!C20</f>
        <v>388838.08600000001</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43081582.797495</v>
      </c>
      <c r="H10" s="14" t="s">
        <v>3</v>
      </c>
      <c r="I10" s="1"/>
    </row>
    <row r="11" spans="1:9" x14ac:dyDescent="0.25">
      <c r="A11" s="1"/>
      <c r="B11" s="137" t="s">
        <v>122</v>
      </c>
      <c r="C11" s="138"/>
      <c r="D11" s="138"/>
      <c r="E11" s="138"/>
      <c r="F11" s="139"/>
      <c r="G11" s="76">
        <v>-68348.002068683752</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761334.25587904581</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42991308.798989356</v>
      </c>
      <c r="H17" s="14" t="s">
        <v>3</v>
      </c>
      <c r="I17" s="1"/>
    </row>
    <row r="18" spans="1:9" x14ac:dyDescent="0.25">
      <c r="A18" s="1"/>
      <c r="B18" s="140" t="s">
        <v>68</v>
      </c>
      <c r="C18" s="141"/>
      <c r="D18" s="141"/>
      <c r="E18" s="141"/>
      <c r="F18" s="142"/>
      <c r="G18" s="76">
        <v>360899.40667267452</v>
      </c>
      <c r="H18" s="14" t="s">
        <v>3</v>
      </c>
      <c r="I18" s="1"/>
    </row>
    <row r="19" spans="1:9" x14ac:dyDescent="0.25">
      <c r="A19" s="1"/>
      <c r="B19" s="137" t="s">
        <v>69</v>
      </c>
      <c r="C19" s="138"/>
      <c r="D19" s="138"/>
      <c r="E19" s="138"/>
      <c r="F19" s="139"/>
      <c r="G19" s="76">
        <f>G17*'Fane 15. Nøgletal'!C21+G18*'Fane 15. Nøgletal'!C22</f>
        <v>764085.9905801639</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43427108.222718976</v>
      </c>
      <c r="H23" s="14" t="s">
        <v>3</v>
      </c>
      <c r="I23" s="1"/>
    </row>
    <row r="24" spans="1:9" x14ac:dyDescent="0.25">
      <c r="A24" s="1"/>
      <c r="B24" s="140" t="s">
        <v>72</v>
      </c>
      <c r="C24" s="141"/>
      <c r="D24" s="141"/>
      <c r="E24" s="141"/>
      <c r="F24" s="142"/>
      <c r="G24" s="76">
        <v>811419.4766081667</v>
      </c>
      <c r="H24" s="14" t="s">
        <v>3</v>
      </c>
      <c r="I24" s="1"/>
    </row>
    <row r="25" spans="1:9" x14ac:dyDescent="0.25">
      <c r="A25" s="1"/>
      <c r="B25" s="137" t="s">
        <v>73</v>
      </c>
      <c r="C25" s="138"/>
      <c r="D25" s="138"/>
      <c r="E25" s="138"/>
      <c r="F25" s="139"/>
      <c r="G25" s="76">
        <f>(G23+G24)*'Fane 15. Nøgletal'!C23</f>
        <v>1256374.1866608909</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43828901.936865777</v>
      </c>
      <c r="H29" s="14" t="s">
        <v>3</v>
      </c>
      <c r="I29" s="1"/>
    </row>
    <row r="30" spans="1:9" x14ac:dyDescent="0.25">
      <c r="A30" s="1"/>
      <c r="B30" s="137" t="s">
        <v>139</v>
      </c>
      <c r="C30" s="138"/>
      <c r="D30" s="138"/>
      <c r="E30" s="138"/>
      <c r="F30" s="139"/>
      <c r="G30" s="76">
        <v>663969.12125039997</v>
      </c>
      <c r="H30" s="14" t="s">
        <v>3</v>
      </c>
      <c r="I30" s="1"/>
    </row>
    <row r="31" spans="1:9" x14ac:dyDescent="0.25">
      <c r="A31" s="1"/>
      <c r="B31" s="137" t="s">
        <v>76</v>
      </c>
      <c r="C31" s="138"/>
      <c r="D31" s="138"/>
      <c r="E31" s="138"/>
      <c r="F31" s="139"/>
      <c r="G31" s="76">
        <f>G29*'Fane 15. Nøgletal'!C23+G30*'Fane 15. Nøgletal'!C24</f>
        <v>1262999.9658413741</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43372529.666879311</v>
      </c>
      <c r="H35" s="14" t="s">
        <v>3</v>
      </c>
      <c r="I35" s="1"/>
    </row>
    <row r="36" spans="1:9" x14ac:dyDescent="0.25">
      <c r="A36" s="1"/>
      <c r="B36" s="137" t="s">
        <v>167</v>
      </c>
      <c r="C36" s="138"/>
      <c r="D36" s="138"/>
      <c r="E36" s="138"/>
      <c r="F36" s="139"/>
      <c r="G36" s="76">
        <v>1411860.3549833202</v>
      </c>
      <c r="H36" s="14" t="s">
        <v>3</v>
      </c>
      <c r="I36" s="1"/>
    </row>
    <row r="37" spans="1:9" x14ac:dyDescent="0.25">
      <c r="A37" s="1"/>
      <c r="B37" s="137" t="s">
        <v>166</v>
      </c>
      <c r="C37" s="138"/>
      <c r="D37" s="138"/>
      <c r="E37" s="138"/>
      <c r="F37" s="139"/>
      <c r="G37" s="76">
        <f>(G35+G36)*'Fane 15. Nøgletal'!C25</f>
        <v>662808.97232356702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44267182.267002553</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152820.16399584003</v>
      </c>
      <c r="H42" s="14" t="s">
        <v>3</v>
      </c>
      <c r="I42" s="1"/>
    </row>
    <row r="43" spans="1:9" x14ac:dyDescent="0.25">
      <c r="A43" s="1"/>
      <c r="B43" s="137" t="s">
        <v>168</v>
      </c>
      <c r="C43" s="138"/>
      <c r="D43" s="138"/>
      <c r="E43" s="138"/>
      <c r="F43" s="139"/>
      <c r="G43" s="76">
        <f>(G41)*'Fane 15. Nøgletal'!C25+G42*'Fane 15. Nøgletal'!C26</f>
        <v>655154.29755163786</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45322876.726997457</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46936371.13847857</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48607305.951008409</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MdpBuSbWkFlDmOtbCFDq1zaDeSup4ujiRhoDscH7nxn1dA0HnvBNXglDa1h0kGuU63O6Ftw2mBV86Ae5Tb33nQ==" saltValue="uq8g78EvSqWlqDnH97v2+Q=="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7" t="s">
        <v>10</v>
      </c>
      <c r="C8" s="128"/>
      <c r="D8" s="128"/>
      <c r="E8" s="128"/>
      <c r="F8" s="128"/>
      <c r="G8" s="128"/>
      <c r="H8" s="1"/>
    </row>
    <row r="9" spans="1:8" x14ac:dyDescent="0.25">
      <c r="A9" s="1"/>
      <c r="B9" s="137" t="s">
        <v>154</v>
      </c>
      <c r="C9" s="138"/>
      <c r="D9" s="138"/>
      <c r="E9" s="138"/>
      <c r="F9" s="139"/>
      <c r="G9" s="35">
        <v>1.5568344554315711E-2</v>
      </c>
      <c r="H9" s="1"/>
    </row>
    <row r="10" spans="1:8" x14ac:dyDescent="0.25">
      <c r="A10" s="1"/>
      <c r="B10" s="32"/>
      <c r="C10" s="27"/>
      <c r="D10" s="27"/>
      <c r="E10" s="27"/>
      <c r="F10" s="27"/>
      <c r="G10" s="27"/>
      <c r="H10" s="1"/>
    </row>
    <row r="11" spans="1:8" ht="29.25" customHeight="1" x14ac:dyDescent="0.25">
      <c r="A11" s="1"/>
      <c r="B11" s="148" t="s">
        <v>236</v>
      </c>
      <c r="C11" s="149"/>
      <c r="D11" s="149"/>
      <c r="E11" s="149"/>
      <c r="F11" s="149"/>
      <c r="G11" s="149"/>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RmVcpP8BTVMVvW9A81RZgz7OEjcW8I7gAQHq0dlBsWSxcsORvRBcK2gBmLHOaxdu9YVBqyyev+cMrcgyf2CeLw==" saltValue="oTeY3P02JbwRZtd2ZYC+LQ=="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2022-12-06T11:24:31Z</dcterms:modified>
</cp:coreProperties>
</file>