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Odder Spildevand AS (S07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4" i="19" l="1"/>
  <c r="E28" i="32" l="1"/>
  <c r="E32" i="32" l="1"/>
  <c r="C30" i="2" s="1"/>
  <c r="E38" i="32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<sst xmlns="http://schemas.openxmlformats.org/spreadsheetml/2006/main" count="688" uniqueCount="277">
  <si>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</si>
  <si>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</si>
  <si>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</si>
  <si>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</si>
  <si>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</si>
  <si>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</si>
  <si>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</si>
  <si>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</si>
  <si>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</si>
  <si>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</si>
  <si>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</si>
  <si>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</si>
  <si>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</si>
  <si>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</si>
  <si>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</si>
  <si>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</si>
  <si>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</si>
  <si>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</si>
  <si>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</si>
  <si>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</si>
  <si>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</si>
  <si>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</si>
  <si>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</si>
  <si>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</si>
  <si>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</si>
  <si>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</si>
  <si>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</si>
  <si>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</si>
  <si>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</si>
  <si>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</si>
  <si>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</si>
  <si>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</si>
  <si>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</si>
  <si>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</si>
  <si>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</si>
  <si>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</si>
  <si>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</si>
  <si>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</si>
  <si>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</si>
  <si>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</si>
  <si>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</si>
  <si>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</si>
  <si>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</si>
  <si>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</si>
  <si>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</si>
  <si>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</si>
  <si>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</si>
  <si>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</si>
  <si>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</si>
  <si>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</si>
  <si>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</si>
  <si>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</si>
  <si>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</si>
  <si>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</si>
  <si>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</si>
  <si>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</si>
  <si>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</si>
  <si>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</si>
  <si>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</si>
  <si>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</si>
  <si>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</si>
  <si>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</si>
  <si>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</si>
  <si>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</si>
  <si>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</si>
  <si>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</si>
  <si>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</si>
  <si>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</si>
  <si>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</si>
  <si>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</si>
  <si>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</si>
  <si>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</si>
  <si>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</si>
  <si>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</si>
  <si>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</si>
  <si>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</si>
  <si>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</si>
  <si>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</si>
  <si>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</si>
  <si>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</si>
  <si>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</si>
  <si>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</si>
  <si>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</si>
  <si>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</si>
  <si>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</si>
  <si>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</si>
  <si>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</si>
  <si>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</si>
  <si>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</si>
  <si>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</si>
  <si>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</si>
  <si>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</si>
  <si>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</si>
  <si>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</si>
  <si>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</si>
  <si>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</si>
  <si>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</si>
  <si>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</si>
  <si>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</si>
  <si>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</si>
  <si>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</si>
  <si>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</si>
  <si>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</si>
  <si>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</si>
  <si>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</si>
  <si>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</si>
  <si>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</si>
  <si>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</si>
  <si>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</si>
  <si>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</si>
  <si>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</si>
  <si>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</si>
  <si>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</si>
  <si>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</si>
  <si>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</si>
  <si>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</si>
  <si>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</si>
  <si>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</si>
  <si>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</si>
  <si>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</si>
  <si>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</si>
  <si>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</si>
  <si>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</si>
  <si>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</si>
  <si>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</si>
  <si>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</si>
  <si>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</si>
  <si>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</si>
  <si>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</si>
  <si>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</si>
  <si>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</si>
  <si>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</si>
  <si>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</si>
  <si>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</si>
  <si>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</si>
  <si>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</si>
  <si>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</si>
  <si>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</si>
  <si>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</si>
  <si>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</si>
  <si>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</si>
  <si>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</si>
  <si>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</si>
  <si>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</si>
  <si>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</si>
  <si>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</si>
  <si>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</si>
  <si>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</si>
  <si>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</si>
  <si>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</si>
  <si>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</si>
  <si>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</si>
  <si>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</si>
  <si>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</si>
  <si>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</si>
  <si>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</si>
  <si>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</si>
  <si>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</si>
  <si>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</si>
  <si>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</si>
  <si>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</si>
  <si>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</si>
  <si>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</si>
  <si>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</si>
  <si>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</si>
  <si>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</si>
  <si>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</si>
  <si>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</si>
  <si>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</si>
  <si>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</si>
  <si>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</si>
  <si>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</si>
  <si>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</si>
  <si>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</si>
  <si>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</si>
  <si>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</si>
  <si>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</si>
  <si>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</si>
  <si>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</si>
  <si>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</si>
  <si>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</si>
  <si>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</si>
  <si>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</si>
  <si>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</si>
  <si>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</si>
  <si>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</si>
  <si>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</si>
  <si>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</si>
  <si>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</si>
  <si>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</si>
  <si>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</si>
  <si>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</si>
  <si>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</si>
  <si>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</si>
  <si>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</si>
  <si>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</si>
  <si>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</si>
  <si>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</si>
  <si>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</si>
  <si>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</si>
  <si>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</si>
  <si>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</si>
  <si>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</si>
  <si>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</si>
  <si>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</si>
  <si>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</si>
  <si>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</si>
  <si>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</si>
  <si>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</si>
  <si>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</si>
  <si>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</si>
  <si>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</si>
  <si>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</si>
  <si>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</si>
  <si>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</si>
  <si>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</si>
  <si>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</si>
  <si>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</si>
  <si>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</si>
  <si>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</si>
  <si>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</si>
  <si>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</si>
  <si>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</si>
  <si>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</si>
  <si>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</si>
  <si>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</si>
  <si>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</si>
  <si>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</si>
  <si>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</si>
  <si>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</si>
  <si>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</si>
  <si>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</si>
  <si>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</si>
  <si>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</si>
  <si>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</si>
  <si>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</si>
  <si>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</si>
  <si>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</si>
  <si>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</si>
  <si>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</si>
  <si>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</si>
  <si>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</si>
  <si>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</si>
  <si>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</si>
  <si>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</si>
  <si>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</si>
  <si>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</si>
  <si>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</si>
  <si>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</si>
  <si>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</si>
  <si>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</si>
  <si>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</si>
  <si>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</si>
  <si>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</si>
  <si>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</si>
  <si>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</si>
  <si>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</si>
  <si>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</si>
  <si>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</si>
  <si>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</si>
  <si>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</si>
  <si>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</si>
  <si>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</si>
  <si>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</si>
  <si>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</si>
  <si>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</si>
  <si>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</si>
  <si>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</si>
  <si>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</si>
  <si>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tilknyttet virksomhed</t>
  </si>
  <si>
    <t>Ingen bortfald eller nedsættelse</t>
  </si>
  <si>
    <t>Udvidelse af forsyningsområdet</t>
  </si>
  <si>
    <t>Ingen tillæg</t>
  </si>
  <si>
    <t>Yderligere opkrævningsret efter § 17, stk. 10 - 2017</t>
  </si>
  <si>
    <t>Yderligere opkrævningsret efter § 17, stk. 10 - 2018</t>
  </si>
  <si>
    <t>Ø 200 mm &lt; Ledningsnet ≤ Ø 500 mm</t>
  </si>
  <si>
    <t>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</si>
</sst>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4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4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4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4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4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4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4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4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4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4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4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4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4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4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4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4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4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4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5" t="s">
        <v>165</v>
      </c>
      <c r="C3" s="75"/>
      <c r="D3" s="75"/>
      <c r="E3" s="1"/>
      <c r="F3" s="1"/>
    </row>
    <row r="4" spans="1:6" ht="15" customHeight="1" x14ac:dyDescent="0.45">
      <c r="A4" s="1"/>
      <c r="B4" s="75"/>
      <c r="C4" s="75"/>
      <c r="D4" s="75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6" t="s">
        <v>196</v>
      </c>
      <c r="C8" s="87"/>
      <c r="D8" s="88"/>
      <c r="E8" s="1"/>
      <c r="F8" s="1"/>
    </row>
    <row r="9" spans="1:6" ht="15" customHeight="1" x14ac:dyDescent="0.4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45">
      <c r="A10" s="1"/>
      <c r="B10" s="54" t="s">
        <v>265</v>
      </c>
      <c r="C10" s="9">
        <v>316000</v>
      </c>
      <c r="D10" s="14" t="s">
        <v>3</v>
      </c>
      <c r="E10" s="1"/>
      <c r="F10" s="1"/>
    </row>
    <row r="11" spans="1:6" x14ac:dyDescent="0.45">
      <c r="A11" s="1"/>
      <c r="B11" s="54" t="s">
        <v>266</v>
      </c>
      <c r="C11" s="9">
        <v>43490</v>
      </c>
      <c r="D11" s="14" t="s">
        <v>3</v>
      </c>
      <c r="E11" s="1"/>
      <c r="F11" s="1"/>
    </row>
    <row r="12" spans="1:6" x14ac:dyDescent="0.45">
      <c r="A12" s="1"/>
      <c r="B12" s="54" t="s">
        <v>267</v>
      </c>
      <c r="C12" s="9">
        <v>107272</v>
      </c>
      <c r="D12" s="14" t="s">
        <v>3</v>
      </c>
      <c r="E12" s="1"/>
      <c r="F12" s="1"/>
    </row>
    <row r="13" spans="1:6" x14ac:dyDescent="0.45">
      <c r="A13" s="1"/>
      <c r="B13" s="54" t="s">
        <v>268</v>
      </c>
      <c r="C13" s="9">
        <v>222321</v>
      </c>
      <c r="D13" s="14" t="s">
        <v>3</v>
      </c>
      <c r="E13" s="1"/>
      <c r="F13" s="1"/>
    </row>
    <row r="14" spans="1:6" x14ac:dyDescent="0.45">
      <c r="A14" s="1"/>
      <c r="B14" s="38" t="s">
        <v>198</v>
      </c>
      <c r="C14" s="12">
        <f>SUM(C10:C13)</f>
        <v>689083</v>
      </c>
      <c r="D14" s="13" t="s">
        <v>3</v>
      </c>
      <c r="E14" s="1"/>
      <c r="F14" s="1"/>
    </row>
    <row r="15" spans="1:6" x14ac:dyDescent="0.45">
      <c r="A15" s="1"/>
      <c r="B15" s="38" t="s">
        <v>199</v>
      </c>
      <c r="C15" s="12">
        <f>C14*(1+'Fane 14. Nøgletal'!C13)^2</f>
        <v>705999.18831372005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86" t="s">
        <v>178</v>
      </c>
      <c r="C18" s="87"/>
      <c r="D18" s="88"/>
      <c r="E18" s="1"/>
      <c r="F18" s="1"/>
    </row>
    <row r="19" spans="1:6" x14ac:dyDescent="0.4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4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86"/>
      <c r="C23" s="87"/>
      <c r="D23" s="88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86" t="s">
        <v>146</v>
      </c>
      <c r="C26" s="87"/>
      <c r="D26" s="88"/>
      <c r="E26" s="1"/>
      <c r="F26" s="1"/>
    </row>
    <row r="27" spans="1:6" x14ac:dyDescent="0.45">
      <c r="A27" s="1"/>
      <c r="B27" s="54" t="s">
        <v>147</v>
      </c>
      <c r="C27" s="9">
        <v>627566</v>
      </c>
      <c r="D27" s="14" t="s">
        <v>3</v>
      </c>
      <c r="E27" s="1"/>
      <c r="F27" s="1"/>
    </row>
    <row r="28" spans="1:6" x14ac:dyDescent="0.45">
      <c r="A28" s="1"/>
      <c r="B28" s="54" t="s">
        <v>148</v>
      </c>
      <c r="C28" s="9">
        <v>627566</v>
      </c>
      <c r="D28" s="14" t="s">
        <v>3</v>
      </c>
      <c r="E28" s="1"/>
      <c r="F28" s="1"/>
    </row>
    <row r="29" spans="1:6" x14ac:dyDescent="0.4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86"/>
      <c r="C31" s="87"/>
      <c r="D31" s="88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ht="15" customHeight="1" x14ac:dyDescent="0.45">
      <c r="A5" s="1"/>
      <c r="B5" s="52"/>
      <c r="C5" s="52"/>
      <c r="D5" s="52"/>
      <c r="E5" s="52"/>
      <c r="F5" s="52"/>
      <c r="G5" s="1"/>
    </row>
    <row r="6" spans="1:7" ht="15" customHeight="1" x14ac:dyDescent="0.45">
      <c r="A6" s="1"/>
      <c r="B6" s="52"/>
      <c r="C6" s="52"/>
      <c r="D6" s="52"/>
      <c r="E6" s="52"/>
      <c r="F6" s="52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6" t="s">
        <v>137</v>
      </c>
      <c r="C8" s="87"/>
      <c r="D8" s="87"/>
      <c r="E8" s="87"/>
      <c r="F8" s="88"/>
      <c r="G8" s="1"/>
    </row>
    <row r="9" spans="1:7" x14ac:dyDescent="0.45">
      <c r="A9" s="1"/>
      <c r="B9" s="92" t="s">
        <v>138</v>
      </c>
      <c r="C9" s="93"/>
      <c r="D9" s="94"/>
      <c r="E9" s="9">
        <v>34176962.912827924</v>
      </c>
      <c r="F9" s="14" t="s">
        <v>3</v>
      </c>
      <c r="G9" s="1"/>
    </row>
    <row r="10" spans="1:7" x14ac:dyDescent="0.45">
      <c r="A10" s="1"/>
      <c r="B10" s="92" t="s">
        <v>139</v>
      </c>
      <c r="C10" s="93"/>
      <c r="D10" s="94"/>
      <c r="E10" s="9">
        <v>31525797</v>
      </c>
      <c r="F10" s="14" t="s">
        <v>3</v>
      </c>
      <c r="G10" s="1"/>
    </row>
    <row r="11" spans="1:7" x14ac:dyDescent="0.4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45">
      <c r="A12" s="1"/>
      <c r="B12" s="90" t="s">
        <v>140</v>
      </c>
      <c r="C12" s="91"/>
      <c r="D12" s="101"/>
      <c r="E12" s="10">
        <f>E9-(E10-E11)</f>
        <v>2651165.9128279239</v>
      </c>
      <c r="F12" s="17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27" customHeight="1" x14ac:dyDescent="0.4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86" t="s">
        <v>52</v>
      </c>
      <c r="C16" s="87"/>
      <c r="D16" s="87"/>
      <c r="E16" s="87"/>
      <c r="F16" s="88"/>
      <c r="G16" s="1"/>
    </row>
    <row r="17" spans="1:7" x14ac:dyDescent="0.45">
      <c r="A17" s="1"/>
      <c r="B17" s="92" t="s">
        <v>53</v>
      </c>
      <c r="C17" s="93"/>
      <c r="D17" s="94"/>
      <c r="E17" s="9">
        <v>34650780.345845692</v>
      </c>
      <c r="F17" s="14" t="s">
        <v>3</v>
      </c>
      <c r="G17" s="1"/>
    </row>
    <row r="18" spans="1:7" x14ac:dyDescent="0.45">
      <c r="A18" s="1"/>
      <c r="B18" s="92" t="s">
        <v>54</v>
      </c>
      <c r="C18" s="93"/>
      <c r="D18" s="94"/>
      <c r="E18" s="9">
        <v>33219166</v>
      </c>
      <c r="F18" s="14" t="s">
        <v>3</v>
      </c>
      <c r="G18" s="1"/>
    </row>
    <row r="19" spans="1:7" x14ac:dyDescent="0.4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45">
      <c r="A20" s="1"/>
      <c r="B20" s="90" t="s">
        <v>55</v>
      </c>
      <c r="C20" s="91"/>
      <c r="D20" s="101"/>
      <c r="E20" s="10">
        <f>E17-(E18-E19)</f>
        <v>1431614.3458456919</v>
      </c>
      <c r="F20" s="17" t="s">
        <v>3</v>
      </c>
      <c r="G20" s="1"/>
    </row>
    <row r="21" spans="1:7" x14ac:dyDescent="0.45">
      <c r="A21" s="1"/>
      <c r="B21" s="38"/>
      <c r="C21" s="32"/>
      <c r="D21" s="32"/>
      <c r="E21" s="32"/>
      <c r="F21" s="20"/>
      <c r="G21" s="1"/>
    </row>
    <row r="22" spans="1:7" ht="28.5" customHeight="1" x14ac:dyDescent="0.4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86" t="s">
        <v>245</v>
      </c>
      <c r="C24" s="87"/>
      <c r="D24" s="87"/>
      <c r="E24" s="87"/>
      <c r="F24" s="88"/>
      <c r="G24" s="1"/>
    </row>
    <row r="25" spans="1:7" x14ac:dyDescent="0.45">
      <c r="A25" s="1"/>
      <c r="B25" s="92" t="s">
        <v>246</v>
      </c>
      <c r="C25" s="93"/>
      <c r="D25" s="94"/>
      <c r="E25" s="9">
        <v>32879900.819470026</v>
      </c>
      <c r="F25" s="14" t="s">
        <v>3</v>
      </c>
      <c r="G25" s="1"/>
    </row>
    <row r="26" spans="1:7" x14ac:dyDescent="0.45">
      <c r="A26" s="1"/>
      <c r="B26" s="92" t="s">
        <v>247</v>
      </c>
      <c r="C26" s="93"/>
      <c r="D26" s="94"/>
      <c r="E26" s="9">
        <v>34579090</v>
      </c>
      <c r="F26" s="14" t="s">
        <v>3</v>
      </c>
      <c r="G26" s="1"/>
    </row>
    <row r="27" spans="1:7" x14ac:dyDescent="0.4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45">
      <c r="A28" s="1"/>
      <c r="B28" s="90" t="s">
        <v>248</v>
      </c>
      <c r="C28" s="91"/>
      <c r="D28" s="101"/>
      <c r="E28" s="10">
        <f>E25-(E26-E27)</f>
        <v>-1699189.1805299744</v>
      </c>
      <c r="F28" s="17" t="s">
        <v>3</v>
      </c>
      <c r="G28" s="1"/>
    </row>
    <row r="29" spans="1:7" x14ac:dyDescent="0.45">
      <c r="A29" s="1"/>
      <c r="B29" s="38"/>
      <c r="C29" s="32"/>
      <c r="D29" s="32"/>
      <c r="E29" s="32"/>
      <c r="F29" s="20"/>
      <c r="G29" s="1"/>
    </row>
    <row r="30" spans="1:7" ht="28.5" customHeight="1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86" t="s">
        <v>250</v>
      </c>
      <c r="C31" s="87"/>
      <c r="D31" s="87"/>
      <c r="E31" s="87"/>
      <c r="F31" s="88"/>
      <c r="G31" s="1"/>
    </row>
    <row r="32" spans="1:7" x14ac:dyDescent="0.4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45">
      <c r="A33" s="1"/>
      <c r="B33" s="86"/>
      <c r="C33" s="87"/>
      <c r="D33" s="87"/>
      <c r="E33" s="87"/>
      <c r="F33" s="88"/>
      <c r="G33" s="1"/>
    </row>
    <row r="34" spans="1:7" ht="28.5" customHeight="1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86" t="s">
        <v>249</v>
      </c>
      <c r="C35" s="87"/>
      <c r="D35" s="87"/>
      <c r="E35" s="87"/>
      <c r="F35" s="88"/>
      <c r="G35" s="1"/>
    </row>
    <row r="36" spans="1:7" x14ac:dyDescent="0.45">
      <c r="A36" s="1"/>
      <c r="B36" s="102" t="s">
        <v>273</v>
      </c>
      <c r="C36" s="103"/>
      <c r="D36" s="104"/>
      <c r="E36" s="9">
        <v>1</v>
      </c>
      <c r="F36" s="14"/>
      <c r="G36" s="1"/>
    </row>
    <row r="37" spans="1:7" x14ac:dyDescent="0.45">
      <c r="A37" s="1"/>
      <c r="B37" s="102" t="s">
        <v>274</v>
      </c>
      <c r="C37" s="103"/>
      <c r="D37" s="104"/>
      <c r="E37" s="9">
        <v>1</v>
      </c>
      <c r="F37" s="14"/>
      <c r="G37" s="1"/>
    </row>
    <row r="38" spans="1:7" x14ac:dyDescent="0.4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4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4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45">
      <c r="A41" s="1"/>
      <c r="B41" s="105"/>
      <c r="C41" s="106"/>
      <c r="D41" s="106"/>
      <c r="E41" s="106"/>
      <c r="F41" s="107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7" spans="1:7" x14ac:dyDescent="0.45">
      <c r="A47" s="42"/>
      <c r="B47" s="42"/>
      <c r="C47" s="42"/>
      <c r="D47" s="42"/>
      <c r="E47" s="42"/>
      <c r="F47" s="42"/>
      <c r="G47" s="42"/>
    </row>
    <row r="48" spans="1:7" x14ac:dyDescent="0.45">
      <c r="A48" s="42"/>
      <c r="B48" s="42"/>
      <c r="C48" s="42"/>
      <c r="D48" s="42"/>
      <c r="E48" s="42"/>
      <c r="F48" s="42"/>
      <c r="G48" s="42"/>
    </row>
    <row r="49" spans="1:7" x14ac:dyDescent="0.45">
      <c r="A49" s="42"/>
      <c r="B49" s="42"/>
      <c r="C49" s="42"/>
      <c r="D49" s="42"/>
      <c r="E49" s="42"/>
      <c r="F49" s="42"/>
      <c r="G49" s="42"/>
    </row>
    <row r="50" spans="1:7" x14ac:dyDescent="0.45">
      <c r="A50" s="42"/>
      <c r="B50" s="42"/>
      <c r="C50" s="42"/>
      <c r="D50" s="42"/>
      <c r="E50" s="42"/>
      <c r="F50" s="42"/>
      <c r="G50" s="42"/>
    </row>
    <row r="51" spans="1:7" x14ac:dyDescent="0.45">
      <c r="A51" s="42"/>
      <c r="B51" s="42"/>
      <c r="C51" s="42"/>
      <c r="D51" s="42"/>
      <c r="E51" s="42"/>
      <c r="F51" s="42"/>
      <c r="G51" s="42"/>
    </row>
    <row r="52" spans="1:7" x14ac:dyDescent="0.45">
      <c r="A52" s="42"/>
      <c r="B52" s="42"/>
      <c r="C52" s="42"/>
      <c r="D52" s="42"/>
      <c r="E52" s="42"/>
      <c r="F52" s="42"/>
      <c r="G52" s="42"/>
    </row>
    <row r="53" spans="1:7" x14ac:dyDescent="0.45">
      <c r="A53" s="42"/>
      <c r="B53" s="42"/>
      <c r="C53" s="42"/>
      <c r="D53" s="42"/>
      <c r="E53" s="42"/>
      <c r="F53" s="42"/>
      <c r="G53" s="42"/>
    </row>
    <row r="54" spans="1:7" x14ac:dyDescent="0.45">
      <c r="A54" s="42"/>
      <c r="B54" s="42"/>
      <c r="C54" s="42"/>
      <c r="D54" s="42"/>
      <c r="E54" s="42"/>
      <c r="F54" s="42"/>
      <c r="G54" s="42"/>
    </row>
    <row r="55" spans="1:7" x14ac:dyDescent="0.45">
      <c r="A55" s="42"/>
      <c r="B55" s="42"/>
      <c r="C55" s="42"/>
      <c r="D55" s="42"/>
      <c r="E55" s="42"/>
      <c r="F55" s="42"/>
      <c r="G55" s="42"/>
    </row>
    <row r="56" spans="1:7" x14ac:dyDescent="0.45">
      <c r="A56" s="42"/>
      <c r="B56" s="42"/>
      <c r="C56" s="42"/>
      <c r="D56" s="42"/>
      <c r="E56" s="42"/>
      <c r="F56" s="42"/>
      <c r="G56" s="42"/>
    </row>
    <row r="57" spans="1:7" x14ac:dyDescent="0.45">
      <c r="A57" s="42"/>
      <c r="B57" s="42"/>
      <c r="C57" s="42"/>
      <c r="D57" s="42"/>
      <c r="E57" s="42"/>
      <c r="F57" s="42"/>
      <c r="G57" s="42"/>
    </row>
    <row r="58" spans="1:7" x14ac:dyDescent="0.45">
      <c r="A58" s="42"/>
      <c r="B58" s="42"/>
      <c r="C58" s="42"/>
      <c r="D58" s="42"/>
      <c r="E58" s="42"/>
      <c r="F58" s="42"/>
      <c r="G58" s="42"/>
    </row>
    <row r="59" spans="1:7" x14ac:dyDescent="0.45">
      <c r="A59" s="42"/>
      <c r="B59" s="42"/>
      <c r="C59" s="42"/>
      <c r="D59" s="42"/>
      <c r="E59" s="42"/>
      <c r="F59" s="42"/>
      <c r="G59" s="42"/>
    </row>
    <row r="60" spans="1:7" x14ac:dyDescent="0.4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86" t="s">
        <v>202</v>
      </c>
      <c r="C9" s="87"/>
      <c r="D9" s="87"/>
      <c r="E9" s="87"/>
      <c r="F9" s="88"/>
      <c r="G9" s="1"/>
    </row>
    <row r="10" spans="1:7" x14ac:dyDescent="0.4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4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4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45">
      <c r="A13" s="1"/>
      <c r="B13" s="86" t="s">
        <v>134</v>
      </c>
      <c r="C13" s="87"/>
      <c r="D13" s="87"/>
      <c r="E13" s="87"/>
      <c r="F13" s="88"/>
      <c r="G13" s="1"/>
    </row>
    <row r="14" spans="1:7" x14ac:dyDescent="0.4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4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4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26.65" x14ac:dyDescent="0.45">
      <c r="A10" s="1"/>
      <c r="B10" s="56" t="s">
        <v>275</v>
      </c>
      <c r="C10" s="112" t="s">
        <v>276</v>
      </c>
      <c r="D10" s="9">
        <v>367123.93</v>
      </c>
      <c r="E10" s="9">
        <f>IFERROR(D10/C10,0)</f>
        <v>4894.985733333333</v>
      </c>
      <c r="F10" s="9">
        <v>0</v>
      </c>
      <c r="G10" s="9">
        <v>7893.16</v>
      </c>
      <c r="H10" s="14" t="s">
        <v>3</v>
      </c>
      <c r="I10" s="1"/>
    </row>
    <row r="11" spans="1:9" x14ac:dyDescent="0.45">
      <c r="A11" s="1"/>
      <c r="B11" s="86" t="s">
        <v>238</v>
      </c>
      <c r="C11" s="87"/>
      <c r="D11" s="88"/>
      <c r="E11" s="12">
        <f>SUM(E10:E10)</f>
        <v>4894.985733333333</v>
      </c>
      <c r="F11" s="12">
        <f>SUM(F10:F10)</f>
        <v>0</v>
      </c>
      <c r="G11" s="12">
        <f>SUM(G10:G10)</f>
        <v>7893.16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4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4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12788.145733333333</v>
      </c>
      <c r="F10" s="14" t="s">
        <v>3</v>
      </c>
      <c r="G10" s="1"/>
    </row>
    <row r="11" spans="1:7" x14ac:dyDescent="0.45">
      <c r="A11" s="1"/>
      <c r="B11" s="113" t="s">
        <v>271</v>
      </c>
      <c r="C11" s="22">
        <v>13957</v>
      </c>
      <c r="D11" s="14" t="s">
        <v>3</v>
      </c>
      <c r="E11" s="9">
        <v>93644</v>
      </c>
      <c r="F11" s="14" t="s">
        <v>3</v>
      </c>
      <c r="G11" s="1"/>
    </row>
    <row r="12" spans="1:7" x14ac:dyDescent="0.45">
      <c r="A12" s="1"/>
      <c r="B12" s="38" t="s">
        <v>50</v>
      </c>
      <c r="C12" s="12">
        <f>SUM(C10:C11)</f>
        <v>13957</v>
      </c>
      <c r="D12" s="13" t="s">
        <v>3</v>
      </c>
      <c r="E12" s="12">
        <f>SUM(E10:E11)</f>
        <v>106432.14573333334</v>
      </c>
      <c r="F12" s="13" t="s">
        <v>3</v>
      </c>
      <c r="G12" s="1"/>
    </row>
    <row r="13" spans="1:7" x14ac:dyDescent="0.45">
      <c r="A13" s="1"/>
      <c r="B13" s="38" t="s">
        <v>219</v>
      </c>
      <c r="C13" s="12">
        <f>C12*(1+'Fane 14. Nøgletal'!C13)</f>
        <v>14127.2754</v>
      </c>
      <c r="D13" s="13" t="s">
        <v>3</v>
      </c>
      <c r="E13" s="12">
        <f>E12*(1+'Fane 14. Nøgletal'!C13)</f>
        <v>107730.61791128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H2Sda9IJ4dSJ15cWTEWgiqQZHCZqvaWct7jwa+c5ClANVXLIFohUB3SS+ntU3AXx8506JsLMCMUSoCxxfSl5Lg==" saltValue="BHcg5bTEhquQJtcNGnAvt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6" t="s">
        <v>141</v>
      </c>
      <c r="C8" s="87"/>
      <c r="D8" s="87"/>
      <c r="E8" s="87"/>
      <c r="F8" s="88"/>
      <c r="G8" s="1"/>
    </row>
    <row r="9" spans="1:7" x14ac:dyDescent="0.4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45">
      <c r="A10" s="1"/>
      <c r="B10" s="25" t="s">
        <v>272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4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4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86" t="s">
        <v>142</v>
      </c>
      <c r="C16" s="87"/>
      <c r="D16" s="87"/>
      <c r="E16" s="87"/>
      <c r="F16" s="88"/>
      <c r="G16" s="1"/>
    </row>
    <row r="17" spans="1:7" x14ac:dyDescent="0.4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45">
      <c r="A18" s="1"/>
      <c r="B18" s="25" t="s">
        <v>272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4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4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86" t="s">
        <v>143</v>
      </c>
      <c r="C24" s="87"/>
      <c r="D24" s="87"/>
      <c r="E24" s="87"/>
      <c r="F24" s="88"/>
      <c r="G24" s="1"/>
    </row>
    <row r="25" spans="1:7" x14ac:dyDescent="0.4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45">
      <c r="A26" s="1"/>
      <c r="B26" s="25" t="s">
        <v>272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4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4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6" t="s">
        <v>223</v>
      </c>
      <c r="C32" s="87"/>
      <c r="D32" s="87"/>
      <c r="E32" s="87"/>
      <c r="F32" s="88"/>
      <c r="G32" s="1"/>
    </row>
    <row r="33" spans="1:7" x14ac:dyDescent="0.4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45">
      <c r="A34" s="1"/>
      <c r="B34" s="25" t="s">
        <v>272</v>
      </c>
      <c r="C34" s="22"/>
      <c r="D34" s="14" t="s">
        <v>3</v>
      </c>
      <c r="E34" s="9"/>
      <c r="F34" s="14" t="s">
        <v>3</v>
      </c>
      <c r="G34" s="1"/>
    </row>
    <row r="35" spans="1:7" x14ac:dyDescent="0.4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4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4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bLo1/qgqhipyrsE8gFhyFAFmP3xSMBwYBmzHHaPk5u2WRD7y61VjLUnsMnJz2BN7vBrN32MQFGYk04NjC6hS+g==" saltValue="/B/1dNtTFhRCnoMc1hYgt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89"/>
      <c r="C5" s="89"/>
      <c r="D5" s="89"/>
      <c r="E5" s="89"/>
      <c r="F5" s="89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6" t="s">
        <v>125</v>
      </c>
      <c r="C8" s="87"/>
      <c r="D8" s="87"/>
      <c r="E8" s="87"/>
      <c r="F8" s="88"/>
      <c r="G8" s="1"/>
    </row>
    <row r="9" spans="1:7" x14ac:dyDescent="0.4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4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45">
      <c r="A11" s="1"/>
      <c r="B11" s="80" t="s">
        <v>29</v>
      </c>
      <c r="C11" s="81"/>
      <c r="D11" s="82"/>
      <c r="E11" s="9">
        <f>-E9*'Fane 14. Nøgletal'!C27</f>
        <v>0</v>
      </c>
      <c r="F11" s="14" t="s">
        <v>3</v>
      </c>
      <c r="G11" s="1"/>
    </row>
    <row r="12" spans="1:7" x14ac:dyDescent="0.45">
      <c r="A12" s="1"/>
      <c r="B12" s="86" t="s">
        <v>128</v>
      </c>
      <c r="C12" s="87"/>
      <c r="D12" s="88"/>
      <c r="E12" s="12">
        <f>SUM(E9:E11)*(1+'Fane 14. Nøgletal'!C13)^2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6" t="s">
        <v>126</v>
      </c>
      <c r="C14" s="87"/>
      <c r="D14" s="87"/>
      <c r="E14" s="87"/>
      <c r="F14" s="88"/>
      <c r="G14" s="1"/>
    </row>
    <row r="15" spans="1:7" x14ac:dyDescent="0.4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4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45">
      <c r="A17" s="1"/>
      <c r="B17" s="80" t="s">
        <v>29</v>
      </c>
      <c r="C17" s="81"/>
      <c r="D17" s="82"/>
      <c r="E17" s="9">
        <f>-E15*'Fane 14. Nøgletal'!C27</f>
        <v>0</v>
      </c>
      <c r="F17" s="14" t="s">
        <v>3</v>
      </c>
      <c r="G17" s="1"/>
    </row>
    <row r="18" spans="1:7" x14ac:dyDescent="0.45">
      <c r="A18" s="1"/>
      <c r="B18" s="86" t="s">
        <v>129</v>
      </c>
      <c r="C18" s="87"/>
      <c r="D18" s="88"/>
      <c r="E18" s="12">
        <f>SUM(E15:E17)*(1+'Fane 14. Nøgletal'!C13)^3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6" t="s">
        <v>127</v>
      </c>
      <c r="C20" s="87"/>
      <c r="D20" s="87"/>
      <c r="E20" s="87"/>
      <c r="F20" s="88"/>
      <c r="G20" s="1"/>
    </row>
    <row r="21" spans="1:7" x14ac:dyDescent="0.4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4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45">
      <c r="A23" s="1"/>
      <c r="B23" s="80" t="s">
        <v>29</v>
      </c>
      <c r="C23" s="81"/>
      <c r="D23" s="82"/>
      <c r="E23" s="9">
        <f>-E21*'Fane 14. Nøgletal'!C27</f>
        <v>0</v>
      </c>
      <c r="F23" s="14" t="s">
        <v>3</v>
      </c>
      <c r="G23" s="1"/>
    </row>
    <row r="24" spans="1:7" x14ac:dyDescent="0.45">
      <c r="A24" s="1"/>
      <c r="B24" s="86" t="s">
        <v>130</v>
      </c>
      <c r="C24" s="87"/>
      <c r="D24" s="88"/>
      <c r="E24" s="12">
        <f>SUM(E21:E23)*(1+'Fane 14. Nøgletal'!C13)^4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6" t="s">
        <v>208</v>
      </c>
      <c r="C26" s="87"/>
      <c r="D26" s="87"/>
      <c r="E26" s="87"/>
      <c r="F26" s="88"/>
      <c r="G26" s="1"/>
    </row>
    <row r="27" spans="1:7" x14ac:dyDescent="0.4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4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45">
      <c r="A29" s="1"/>
      <c r="B29" s="80" t="s">
        <v>29</v>
      </c>
      <c r="C29" s="81"/>
      <c r="D29" s="82"/>
      <c r="E29" s="9">
        <f>-E27*'Fane 14. Nøgletal'!C27</f>
        <v>0</v>
      </c>
      <c r="F29" s="14" t="s">
        <v>3</v>
      </c>
      <c r="G29" s="1"/>
    </row>
    <row r="30" spans="1:7" x14ac:dyDescent="0.45">
      <c r="A30" s="1"/>
      <c r="B30" s="86" t="s">
        <v>209</v>
      </c>
      <c r="C30" s="87"/>
      <c r="D30" s="88"/>
      <c r="E30" s="12">
        <f>SUM(E27:E29)*(1+'Fane 14. Nøgletal'!C13)^5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4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4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4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6" t="s">
        <v>131</v>
      </c>
      <c r="C14" s="87"/>
      <c r="D14" s="87"/>
      <c r="E14" s="87"/>
      <c r="F14" s="88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4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6" t="s">
        <v>133</v>
      </c>
      <c r="C20" s="87"/>
      <c r="D20" s="87"/>
      <c r="E20" s="87"/>
      <c r="F20" s="88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4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6" t="s">
        <v>227</v>
      </c>
      <c r="C26" s="87"/>
      <c r="D26" s="87"/>
      <c r="E26" s="87"/>
      <c r="F26" s="88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4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9" t="s">
        <v>257</v>
      </c>
      <c r="C3" s="89"/>
      <c r="D3" s="1"/>
    </row>
    <row r="4" spans="1:4" ht="25.5" customHeight="1" x14ac:dyDescent="0.45">
      <c r="A4" s="1"/>
      <c r="B4" s="89"/>
      <c r="C4" s="89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54" t="s">
        <v>170</v>
      </c>
      <c r="C9" s="26">
        <v>1.2699999999999999E-2</v>
      </c>
      <c r="D9" s="1"/>
    </row>
    <row r="10" spans="1:4" x14ac:dyDescent="0.45">
      <c r="A10" s="1"/>
      <c r="B10" s="54" t="s">
        <v>171</v>
      </c>
      <c r="C10" s="26">
        <v>1.7500000000000002E-2</v>
      </c>
      <c r="D10" s="1"/>
    </row>
    <row r="11" spans="1:4" x14ac:dyDescent="0.45">
      <c r="A11" s="1"/>
      <c r="B11" s="54" t="s">
        <v>24</v>
      </c>
      <c r="C11" s="26">
        <v>1.6899999999999998E-2</v>
      </c>
      <c r="D11" s="1"/>
    </row>
    <row r="12" spans="1:4" x14ac:dyDescent="0.45">
      <c r="A12" s="1"/>
      <c r="B12" s="39" t="s">
        <v>172</v>
      </c>
      <c r="C12" s="40">
        <v>1.9699999999999999E-2</v>
      </c>
      <c r="D12" s="1"/>
    </row>
    <row r="13" spans="1:4" x14ac:dyDescent="0.45">
      <c r="A13" s="1"/>
      <c r="B13" s="39" t="s">
        <v>217</v>
      </c>
      <c r="C13" s="40">
        <v>1.2200000000000001E-2</v>
      </c>
      <c r="D13" s="1"/>
    </row>
    <row r="14" spans="1:4" x14ac:dyDescent="0.45">
      <c r="A14" s="1"/>
      <c r="B14" s="38"/>
      <c r="C14" s="20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38" t="s">
        <v>153</v>
      </c>
      <c r="C17" s="20"/>
      <c r="D17" s="1"/>
    </row>
    <row r="18" spans="1:4" x14ac:dyDescent="0.45">
      <c r="A18" s="1"/>
      <c r="B18" s="54" t="s">
        <v>173</v>
      </c>
      <c r="C18" s="23">
        <v>9.1000000000000004E-3</v>
      </c>
      <c r="D18" s="1"/>
    </row>
    <row r="19" spans="1:4" x14ac:dyDescent="0.45">
      <c r="A19" s="1"/>
      <c r="B19" s="54" t="s">
        <v>174</v>
      </c>
      <c r="C19" s="23">
        <v>1.77E-2</v>
      </c>
      <c r="D19" s="1"/>
    </row>
    <row r="20" spans="1:4" x14ac:dyDescent="0.45">
      <c r="A20" s="1"/>
      <c r="B20" s="54" t="s">
        <v>175</v>
      </c>
      <c r="C20" s="23">
        <v>8.6999999999999994E-3</v>
      </c>
      <c r="D20" s="1"/>
    </row>
    <row r="21" spans="1:4" x14ac:dyDescent="0.45">
      <c r="A21" s="1"/>
      <c r="B21" s="54" t="s">
        <v>176</v>
      </c>
      <c r="C21" s="41">
        <v>2.8400000000000002E-2</v>
      </c>
      <c r="D21" s="1"/>
    </row>
    <row r="22" spans="1:4" x14ac:dyDescent="0.45">
      <c r="A22" s="1"/>
      <c r="B22" s="54" t="s">
        <v>229</v>
      </c>
      <c r="C22" s="41">
        <v>2.75E-2</v>
      </c>
      <c r="D22" s="1"/>
    </row>
    <row r="23" spans="1:4" x14ac:dyDescent="0.45">
      <c r="A23" s="1"/>
      <c r="B23" s="38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38" t="s">
        <v>154</v>
      </c>
      <c r="C26" s="20"/>
      <c r="D26" s="1"/>
    </row>
    <row r="27" spans="1:4" x14ac:dyDescent="0.45">
      <c r="A27" s="1"/>
      <c r="B27" s="54" t="s">
        <v>177</v>
      </c>
      <c r="C27" s="26">
        <v>0.02</v>
      </c>
      <c r="D27" s="1"/>
    </row>
    <row r="28" spans="1:4" x14ac:dyDescent="0.45">
      <c r="A28" s="1"/>
      <c r="B28" s="38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185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27</v>
      </c>
      <c r="C9" s="7">
        <f>'Fane 3. Omkostninger i ØR2020'!E20</f>
        <v>32895631.060057759</v>
      </c>
      <c r="D9" s="8" t="s">
        <v>3</v>
      </c>
      <c r="E9" s="1"/>
    </row>
    <row r="10" spans="1:5" ht="17.100000000000001" customHeight="1" x14ac:dyDescent="0.45">
      <c r="A10" s="1"/>
      <c r="B10" s="48" t="s">
        <v>48</v>
      </c>
      <c r="C10" s="7">
        <f>'Fane 10.1. Varige tillæg'!C13</f>
        <v>14127.2754</v>
      </c>
      <c r="D10" s="8" t="s">
        <v>3</v>
      </c>
      <c r="E10" s="1"/>
    </row>
    <row r="11" spans="1:5" ht="17.100000000000001" customHeight="1" x14ac:dyDescent="0.45">
      <c r="A11" s="1"/>
      <c r="B11" s="48" t="s">
        <v>49</v>
      </c>
      <c r="C11" s="9">
        <f>'Fane 10.1. Varige tillæg'!E13</f>
        <v>107730.61791128</v>
      </c>
      <c r="D11" s="8" t="s">
        <v>3</v>
      </c>
      <c r="E11" s="1"/>
    </row>
    <row r="12" spans="1:5" ht="17.100000000000001" customHeight="1" x14ac:dyDescent="0.4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48" t="s">
        <v>20</v>
      </c>
      <c r="C16" s="9">
        <f>C9*'Fane 14. Nøgletal'!C12+SUM(C10:C15)*'Fane 14. Nøgletal'!C13</f>
        <v>649530.59818153537</v>
      </c>
      <c r="D16" s="8" t="s">
        <v>3</v>
      </c>
      <c r="E16" s="1"/>
    </row>
    <row r="17" spans="1:5" ht="17.100000000000001" customHeight="1" x14ac:dyDescent="0.45">
      <c r="A17" s="1"/>
      <c r="B17" s="48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45">
      <c r="A18" s="1"/>
      <c r="B18" s="48" t="s">
        <v>29</v>
      </c>
      <c r="C18" s="9">
        <f>-'Fane 4.1. Gen. krav - drift'!G34</f>
        <v>-234747.05326547648</v>
      </c>
      <c r="D18" s="8" t="s">
        <v>3</v>
      </c>
      <c r="E18" s="1"/>
    </row>
    <row r="19" spans="1:5" ht="17.100000000000001" customHeight="1" x14ac:dyDescent="0.45">
      <c r="A19" s="1"/>
      <c r="B19" s="48" t="s">
        <v>30</v>
      </c>
      <c r="C19" s="9">
        <f>-'Fane 4.2. Gen. krav - anlæg'!G31</f>
        <v>-631436.90042695578</v>
      </c>
      <c r="D19" s="8" t="s">
        <v>3</v>
      </c>
      <c r="E19" s="1"/>
    </row>
    <row r="20" spans="1:5" ht="17.100000000000001" customHeight="1" x14ac:dyDescent="0.45">
      <c r="A20" s="1"/>
      <c r="B20" s="49" t="s">
        <v>22</v>
      </c>
      <c r="C20" s="10">
        <f>SUM(C9:C19)</f>
        <v>32800835.597858146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omk.'!C15+'Fane 6. Ikke-påvirkelige omk.'!C19+'Fane 6. Ikke-påvirkelige omk.'!C27</f>
        <v>1333565.18831372</v>
      </c>
      <c r="D22" s="11" t="s">
        <v>3</v>
      </c>
      <c r="E22" s="1"/>
    </row>
    <row r="23" spans="1:5" ht="15" customHeight="1" x14ac:dyDescent="0.45">
      <c r="A23" s="1"/>
      <c r="B23" s="38" t="s">
        <v>114</v>
      </c>
      <c r="C23" s="32"/>
      <c r="D23" s="20"/>
      <c r="E23" s="1"/>
    </row>
    <row r="24" spans="1:5" ht="15" customHeight="1" x14ac:dyDescent="0.4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113</v>
      </c>
      <c r="C25" s="32"/>
      <c r="D25" s="20"/>
      <c r="E25" s="1"/>
    </row>
    <row r="26" spans="1:5" ht="15" customHeight="1" x14ac:dyDescent="0.4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252</v>
      </c>
      <c r="C29" s="32"/>
      <c r="D29" s="20"/>
      <c r="E29" s="1"/>
    </row>
    <row r="30" spans="1:5" x14ac:dyDescent="0.4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45">
      <c r="A31" s="1"/>
      <c r="B31" s="38" t="s">
        <v>184</v>
      </c>
      <c r="C31" s="32"/>
      <c r="D31" s="20"/>
      <c r="E31" s="1"/>
    </row>
    <row r="32" spans="1:5" x14ac:dyDescent="0.4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45">
      <c r="A33" s="1"/>
      <c r="B33" s="38" t="s">
        <v>35</v>
      </c>
      <c r="C33" s="34">
        <f>SUM(C32,C30,C28,C24,C22,C20)</f>
        <v>34134400.786171868</v>
      </c>
      <c r="D33" s="35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188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23</v>
      </c>
      <c r="C5" s="76"/>
      <c r="D5" s="76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28</v>
      </c>
      <c r="C9" s="7">
        <f>'Fane 2.1. Økonomisk ramme 2021'!C20</f>
        <v>32800835.597858146</v>
      </c>
      <c r="D9" s="8" t="s">
        <v>3</v>
      </c>
      <c r="E9" s="1"/>
    </row>
    <row r="10" spans="1:5" ht="15" customHeight="1" x14ac:dyDescent="0.4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400170.19429386943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drift'!G40</f>
        <v>-232858.74796900898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anlæg'!G37</f>
        <v>-601405.80822876282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32366741.23595424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1342178.3784111473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252</v>
      </c>
      <c r="C25" s="32"/>
      <c r="D25" s="20"/>
      <c r="E25" s="1"/>
    </row>
    <row r="26" spans="1:5" ht="15" customHeight="1" x14ac:dyDescent="0.4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45">
      <c r="A27" s="1"/>
      <c r="B27" s="38" t="s">
        <v>36</v>
      </c>
      <c r="C27" s="12">
        <f>SUM(C16,C18,C20,C24,C26)</f>
        <v>33708919.614365384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189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23</v>
      </c>
      <c r="C5" s="76"/>
      <c r="D5" s="76"/>
      <c r="E5" s="1"/>
    </row>
    <row r="6" spans="1:5" x14ac:dyDescent="0.45">
      <c r="A6" s="1"/>
      <c r="B6" s="47"/>
      <c r="C6" s="47"/>
      <c r="D6" s="47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190</v>
      </c>
      <c r="C9" s="7">
        <f>'Fane 2.2. Økonomisk ramme 2022'!C16</f>
        <v>32366741.23595424</v>
      </c>
      <c r="D9" s="8" t="s">
        <v>3</v>
      </c>
      <c r="E9" s="1"/>
    </row>
    <row r="10" spans="1:5" ht="15" customHeight="1" x14ac:dyDescent="0.4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394874.24307864177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drift'!G46</f>
        <v>-230985.63220034627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anlæg'!G43</f>
        <v>-592002.52771420206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31938627.319118336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723330.64942776342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252</v>
      </c>
      <c r="C25" s="32"/>
      <c r="D25" s="20"/>
      <c r="E25" s="1"/>
    </row>
    <row r="26" spans="1:5" x14ac:dyDescent="0.4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45">
      <c r="A27" s="1"/>
      <c r="B27" s="38" t="s">
        <v>124</v>
      </c>
      <c r="C27" s="12">
        <f>SUM(C16,C18,C20,C24,C26)</f>
        <v>32661957.9685461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191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23</v>
      </c>
      <c r="C5" s="76"/>
      <c r="D5" s="76"/>
      <c r="E5" s="1"/>
    </row>
    <row r="6" spans="1:5" x14ac:dyDescent="0.45">
      <c r="A6" s="1"/>
      <c r="B6" s="47"/>
      <c r="C6" s="47"/>
      <c r="D6" s="47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192</v>
      </c>
      <c r="C9" s="7">
        <f>'Fane 2.3. Økonomisk ramme 2023'!C16</f>
        <v>31938627.319118336</v>
      </c>
      <c r="D9" s="8" t="s">
        <v>3</v>
      </c>
      <c r="E9" s="1"/>
    </row>
    <row r="10" spans="1:5" ht="15" customHeight="1" x14ac:dyDescent="0.4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389651.2532932437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drift'!G54</f>
        <v>-229127.58377492669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anlæg'!G49</f>
        <v>-582746.27219212672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31516404.716444522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732155.28335078224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193</v>
      </c>
      <c r="C25" s="12">
        <f>SUM(C16,C18,C20,C24)</f>
        <v>32248559.999795303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45">
      <c r="A9" s="1"/>
      <c r="B9" s="77" t="s">
        <v>25</v>
      </c>
      <c r="C9" s="78"/>
      <c r="D9" s="79"/>
      <c r="E9" s="7">
        <v>32899616.919865295</v>
      </c>
      <c r="F9" s="8" t="s">
        <v>3</v>
      </c>
      <c r="G9" s="1"/>
    </row>
    <row r="10" spans="1:7" ht="15" customHeight="1" x14ac:dyDescent="0.45">
      <c r="A10" s="1"/>
      <c r="B10" s="80" t="s">
        <v>48</v>
      </c>
      <c r="C10" s="81"/>
      <c r="D10" s="82"/>
      <c r="E10" s="7">
        <v>11568.496500000001</v>
      </c>
      <c r="F10" s="8" t="s">
        <v>3</v>
      </c>
      <c r="G10" s="1"/>
    </row>
    <row r="11" spans="1:7" ht="15" customHeight="1" x14ac:dyDescent="0.45">
      <c r="A11" s="1"/>
      <c r="B11" s="80" t="s">
        <v>49</v>
      </c>
      <c r="C11" s="81"/>
      <c r="D11" s="82"/>
      <c r="E11" s="9">
        <v>201069.66822360002</v>
      </c>
      <c r="F11" s="8" t="s">
        <v>3</v>
      </c>
      <c r="G11" s="1"/>
    </row>
    <row r="12" spans="1:7" ht="15" customHeight="1" x14ac:dyDescent="0.4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4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4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4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45">
      <c r="A16" s="1"/>
      <c r="B16" s="77" t="s">
        <v>20</v>
      </c>
      <c r="C16" s="78"/>
      <c r="D16" s="79"/>
      <c r="E16" s="9">
        <f>SUM(E9:E15)*'Fane 14. Nøgletal'!C12</f>
        <v>652311.4251664012</v>
      </c>
      <c r="F16" s="8" t="s">
        <v>3</v>
      </c>
      <c r="G16" s="1"/>
    </row>
    <row r="17" spans="1:7" ht="15" customHeight="1" x14ac:dyDescent="0.45">
      <c r="A17" s="1"/>
      <c r="B17" s="77" t="s">
        <v>10</v>
      </c>
      <c r="C17" s="78"/>
      <c r="D17" s="79"/>
      <c r="E17" s="9">
        <f>-SUM(E9:E16)*'Fane 5. Individuelt eff. krav'!G11</f>
        <v>0</v>
      </c>
      <c r="F17" s="8" t="s">
        <v>3</v>
      </c>
      <c r="G17" s="1"/>
    </row>
    <row r="18" spans="1:7" ht="15" customHeight="1" x14ac:dyDescent="0.45">
      <c r="A18" s="1"/>
      <c r="B18" s="77" t="s">
        <v>29</v>
      </c>
      <c r="C18" s="78"/>
      <c r="D18" s="79"/>
      <c r="E18" s="9">
        <f>-'Fane 4.1. Gen. krav - drift'!G28</f>
        <v>-234623.88968171799</v>
      </c>
      <c r="F18" s="8" t="s">
        <v>3</v>
      </c>
      <c r="G18" s="1"/>
    </row>
    <row r="19" spans="1:7" ht="15" customHeight="1" x14ac:dyDescent="0.45">
      <c r="A19" s="1"/>
      <c r="B19" s="77" t="s">
        <v>30</v>
      </c>
      <c r="C19" s="78"/>
      <c r="D19" s="79"/>
      <c r="E19" s="9">
        <f>-'Fane 4.2. Gen. krav - anlæg'!G25</f>
        <v>-634311.56001582171</v>
      </c>
      <c r="F19" s="8" t="s">
        <v>3</v>
      </c>
      <c r="G19" s="1"/>
    </row>
    <row r="20" spans="1:7" ht="15" customHeight="1" x14ac:dyDescent="0.45">
      <c r="A20" s="1"/>
      <c r="B20" s="49" t="s">
        <v>22</v>
      </c>
      <c r="C20" s="50"/>
      <c r="D20" s="55"/>
      <c r="E20" s="10">
        <f>SUM(E9:E19)</f>
        <v>32895631.060057759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83" t="s">
        <v>13</v>
      </c>
      <c r="C22" s="84"/>
      <c r="D22" s="85"/>
      <c r="E22" s="10">
        <v>1448623.1964058673</v>
      </c>
      <c r="F22" s="11" t="s">
        <v>3</v>
      </c>
      <c r="G22" s="1"/>
    </row>
    <row r="23" spans="1:7" ht="15" customHeight="1" x14ac:dyDescent="0.4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4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4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4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4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4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45">
      <c r="A30" s="1"/>
      <c r="B30" s="83" t="s">
        <v>260</v>
      </c>
      <c r="C30" s="84"/>
      <c r="D30" s="84"/>
      <c r="E30" s="46">
        <v>-1357830</v>
      </c>
      <c r="F30" s="11" t="s">
        <v>3</v>
      </c>
      <c r="G30" s="1"/>
    </row>
    <row r="31" spans="1:7" ht="15" customHeight="1" x14ac:dyDescent="0.4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4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4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45">
      <c r="A34" s="1"/>
      <c r="B34" s="83" t="s">
        <v>264</v>
      </c>
      <c r="C34" s="84"/>
      <c r="D34" s="85"/>
      <c r="E34" s="10">
        <v>0</v>
      </c>
      <c r="F34" s="11" t="s">
        <v>3</v>
      </c>
      <c r="G34" s="1"/>
    </row>
    <row r="35" spans="1:7" x14ac:dyDescent="0.45">
      <c r="A35" s="1"/>
      <c r="B35" s="38" t="s">
        <v>26</v>
      </c>
      <c r="C35" s="32"/>
      <c r="D35" s="20"/>
      <c r="E35" s="12">
        <f>E20+E22+E24+E28+E30+E32+E34</f>
        <v>32986424.256463625</v>
      </c>
      <c r="F35" s="13" t="s">
        <v>3</v>
      </c>
      <c r="G35" s="1"/>
    </row>
    <row r="36" spans="1:7" ht="27" customHeight="1" x14ac:dyDescent="0.45">
      <c r="A36" s="1"/>
      <c r="B36" s="77" t="s">
        <v>218</v>
      </c>
      <c r="C36" s="78"/>
      <c r="D36" s="78"/>
      <c r="E36" s="78"/>
      <c r="F36" s="7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4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4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4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4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45">
      <c r="A6" s="1"/>
      <c r="B6" s="92" t="s">
        <v>56</v>
      </c>
      <c r="C6" s="93"/>
      <c r="D6" s="93"/>
      <c r="E6" s="93"/>
      <c r="F6" s="94"/>
      <c r="G6" s="24">
        <v>11675632.068813682</v>
      </c>
      <c r="H6" s="14" t="s">
        <v>3</v>
      </c>
      <c r="I6" s="1"/>
    </row>
    <row r="7" spans="1:9" x14ac:dyDescent="0.4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45">
      <c r="A8" s="1"/>
      <c r="B8" s="92" t="s">
        <v>57</v>
      </c>
      <c r="C8" s="93"/>
      <c r="D8" s="93"/>
      <c r="E8" s="93"/>
      <c r="F8" s="94"/>
      <c r="G8" s="24">
        <f>SUM(G6:G7)*'Fane 14. Nøgletal'!C27</f>
        <v>233512.64137627365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4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11642356.517417563</v>
      </c>
      <c r="H12" s="14" t="s">
        <v>3</v>
      </c>
      <c r="I12" s="1"/>
    </row>
    <row r="13" spans="1:9" ht="15" customHeight="1" x14ac:dyDescent="0.45">
      <c r="A13" s="1"/>
      <c r="B13" s="92" t="s">
        <v>182</v>
      </c>
      <c r="C13" s="93"/>
      <c r="D13" s="93"/>
      <c r="E13" s="93"/>
      <c r="F13" s="94"/>
      <c r="G13" s="24">
        <v>118699.49108874894</v>
      </c>
      <c r="H13" s="14" t="s">
        <v>3</v>
      </c>
      <c r="I13" s="1"/>
    </row>
    <row r="14" spans="1:9" x14ac:dyDescent="0.4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4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4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235221.12017012626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4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11727536.998882072</v>
      </c>
      <c r="H20" s="14" t="s">
        <v>3</v>
      </c>
      <c r="I20" s="1"/>
    </row>
    <row r="21" spans="1:9" x14ac:dyDescent="0.4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4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234550.73997764144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4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11719398.08820485</v>
      </c>
      <c r="H26" s="14" t="s">
        <v>3</v>
      </c>
      <c r="I26" s="1"/>
    </row>
    <row r="27" spans="1:9" x14ac:dyDescent="0.45">
      <c r="A27" s="1"/>
      <c r="B27" s="95" t="s">
        <v>65</v>
      </c>
      <c r="C27" s="96"/>
      <c r="D27" s="96"/>
      <c r="E27" s="96"/>
      <c r="F27" s="97"/>
      <c r="G27" s="24">
        <v>11796.395881050003</v>
      </c>
      <c r="H27" s="14" t="s">
        <v>3</v>
      </c>
      <c r="I27" s="1"/>
    </row>
    <row r="28" spans="1:9" x14ac:dyDescent="0.45">
      <c r="A28" s="1"/>
      <c r="B28" s="92" t="s">
        <v>66</v>
      </c>
      <c r="C28" s="93"/>
      <c r="D28" s="93"/>
      <c r="E28" s="93"/>
      <c r="F28" s="94"/>
      <c r="G28" s="24">
        <f>(G26+G27)*'Fane 14. Nøgletal'!C27</f>
        <v>234623.88968171799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4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11723053.035113944</v>
      </c>
      <c r="H32" s="14" t="s">
        <v>3</v>
      </c>
      <c r="I32" s="1"/>
    </row>
    <row r="33" spans="1:9" x14ac:dyDescent="0.4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14299.62815988</v>
      </c>
      <c r="H33" s="14" t="s">
        <v>3</v>
      </c>
      <c r="I33" s="1"/>
    </row>
    <row r="34" spans="1:9" x14ac:dyDescent="0.45">
      <c r="A34" s="1"/>
      <c r="B34" s="92" t="s">
        <v>75</v>
      </c>
      <c r="C34" s="93"/>
      <c r="D34" s="93"/>
      <c r="E34" s="93"/>
      <c r="F34" s="94"/>
      <c r="G34" s="24">
        <f>(G32+G33)*'Fane 14. Nøgletal'!C27</f>
        <v>234747.05326547648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4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11642937.398450449</v>
      </c>
      <c r="H38" s="14" t="s">
        <v>3</v>
      </c>
      <c r="I38" s="1"/>
    </row>
    <row r="39" spans="1:9" x14ac:dyDescent="0.4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45">
      <c r="A40" s="1"/>
      <c r="B40" s="92" t="s">
        <v>76</v>
      </c>
      <c r="C40" s="93"/>
      <c r="D40" s="93"/>
      <c r="E40" s="93"/>
      <c r="F40" s="94"/>
      <c r="G40" s="24">
        <f>(G38+G39)*'Fane 14. Nøgletal'!C27</f>
        <v>232858.74796900898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4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11549281.610017313</v>
      </c>
      <c r="H44" s="14" t="s">
        <v>3</v>
      </c>
      <c r="I44" s="1"/>
    </row>
    <row r="45" spans="1:9" x14ac:dyDescent="0.4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45">
      <c r="A46" s="1"/>
      <c r="B46" s="92" t="s">
        <v>77</v>
      </c>
      <c r="C46" s="93"/>
      <c r="D46" s="93"/>
      <c r="E46" s="93"/>
      <c r="F46" s="94"/>
      <c r="G46" s="24">
        <f>(G44+G45)*'Fane 14. Nøgletal'!C27</f>
        <v>230985.63220034627</v>
      </c>
      <c r="H46" s="14" t="s">
        <v>3</v>
      </c>
      <c r="I46" s="1"/>
    </row>
    <row r="47" spans="1:9" x14ac:dyDescent="0.4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4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11456379.188746335</v>
      </c>
      <c r="H52" s="14" t="s">
        <v>3</v>
      </c>
      <c r="I52" s="1"/>
    </row>
    <row r="53" spans="1:9" x14ac:dyDescent="0.4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4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229127.58377492669</v>
      </c>
      <c r="H54" s="14" t="s">
        <v>3</v>
      </c>
      <c r="I54" s="1"/>
    </row>
    <row r="55" spans="1:9" x14ac:dyDescent="0.4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4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4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4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45">
      <c r="A5" s="1"/>
      <c r="B5" s="92" t="s">
        <v>78</v>
      </c>
      <c r="C5" s="93"/>
      <c r="D5" s="93"/>
      <c r="E5" s="93"/>
      <c r="F5" s="94"/>
      <c r="G5" s="24">
        <v>20979323.253606636</v>
      </c>
      <c r="H5" s="14" t="s">
        <v>3</v>
      </c>
      <c r="I5" s="1"/>
    </row>
    <row r="6" spans="1:9" x14ac:dyDescent="0.45">
      <c r="A6" s="1"/>
      <c r="B6" s="92" t="s">
        <v>72</v>
      </c>
      <c r="C6" s="93"/>
      <c r="D6" s="93"/>
      <c r="E6" s="93"/>
      <c r="F6" s="94"/>
      <c r="G6" s="24">
        <f>G5*'Fane 14. Nøgletal'!C18</f>
        <v>190911.84160782039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4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21152208.611708798</v>
      </c>
      <c r="H10" s="14" t="s">
        <v>3</v>
      </c>
      <c r="I10" s="1"/>
    </row>
    <row r="11" spans="1:9" x14ac:dyDescent="0.45">
      <c r="A11" s="1"/>
      <c r="B11" s="92" t="s">
        <v>183</v>
      </c>
      <c r="C11" s="93"/>
      <c r="D11" s="93"/>
      <c r="E11" s="93"/>
      <c r="F11" s="94"/>
      <c r="G11" s="24">
        <v>914423.25176190329</v>
      </c>
      <c r="H11" s="14" t="s">
        <v>3</v>
      </c>
      <c r="I11" s="1"/>
    </row>
    <row r="12" spans="1:9" x14ac:dyDescent="0.4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4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390579.38398343138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4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22055383.3978783</v>
      </c>
      <c r="H17" s="14" t="s">
        <v>3</v>
      </c>
      <c r="I17" s="1"/>
    </row>
    <row r="18" spans="1:9" x14ac:dyDescent="0.45">
      <c r="A18" s="1"/>
      <c r="B18" s="95" t="s">
        <v>85</v>
      </c>
      <c r="C18" s="96"/>
      <c r="D18" s="96"/>
      <c r="E18" s="96"/>
      <c r="F18" s="97"/>
      <c r="G18" s="24">
        <v>37671.738772299992</v>
      </c>
      <c r="H18" s="14" t="s">
        <v>3</v>
      </c>
      <c r="I18" s="1"/>
    </row>
    <row r="19" spans="1:9" x14ac:dyDescent="0.4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390708.03026976495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4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22129883.344376538</v>
      </c>
      <c r="H23" s="14" t="s">
        <v>3</v>
      </c>
      <c r="I23" s="1"/>
    </row>
    <row r="24" spans="1:9" x14ac:dyDescent="0.45">
      <c r="A24" s="1"/>
      <c r="B24" s="95" t="s">
        <v>89</v>
      </c>
      <c r="C24" s="96"/>
      <c r="D24" s="96"/>
      <c r="E24" s="96"/>
      <c r="F24" s="97"/>
      <c r="G24" s="24">
        <v>205030.74068760496</v>
      </c>
      <c r="H24" s="14" t="s">
        <v>3</v>
      </c>
      <c r="I24" s="1"/>
    </row>
    <row r="25" spans="1:9" x14ac:dyDescent="0.45">
      <c r="A25" s="1"/>
      <c r="B25" s="92" t="s">
        <v>90</v>
      </c>
      <c r="C25" s="93"/>
      <c r="D25" s="93"/>
      <c r="E25" s="93"/>
      <c r="F25" s="94"/>
      <c r="G25" s="24">
        <f>(G23+G24)*'Fane 14. Nøgletal'!C21</f>
        <v>634311.56001582171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4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22128104.394791774</v>
      </c>
      <c r="H29" s="14" t="s">
        <v>3</v>
      </c>
      <c r="I29" s="1"/>
    </row>
    <row r="30" spans="1:9" x14ac:dyDescent="0.4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109044.93144979762</v>
      </c>
      <c r="H30" s="14" t="s">
        <v>3</v>
      </c>
      <c r="I30" s="1"/>
    </row>
    <row r="31" spans="1:9" x14ac:dyDescent="0.4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631436.90042695578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4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21869302.117409557</v>
      </c>
      <c r="H35" s="14" t="s">
        <v>3</v>
      </c>
      <c r="I35" s="1"/>
    </row>
    <row r="36" spans="1:9" x14ac:dyDescent="0.4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45">
      <c r="A37" s="1"/>
      <c r="B37" s="92" t="s">
        <v>94</v>
      </c>
      <c r="C37" s="93"/>
      <c r="D37" s="93"/>
      <c r="E37" s="93"/>
      <c r="F37" s="94"/>
      <c r="G37" s="24">
        <f>(G35+G36)*'Fane 14. Nøgletal'!C22</f>
        <v>601405.80822876282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4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21527364.644152801</v>
      </c>
      <c r="H41" s="14" t="s">
        <v>3</v>
      </c>
      <c r="I41" s="1"/>
    </row>
    <row r="42" spans="1:9" x14ac:dyDescent="0.4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45">
      <c r="A43" s="1"/>
      <c r="B43" s="92" t="s">
        <v>95</v>
      </c>
      <c r="C43" s="93"/>
      <c r="D43" s="93"/>
      <c r="E43" s="93"/>
      <c r="F43" s="94"/>
      <c r="G43" s="24">
        <f>(G41+G42)*'Fane 14. Nøgletal'!C22</f>
        <v>592002.52771420206</v>
      </c>
      <c r="H43" s="14" t="s">
        <v>3</v>
      </c>
      <c r="I43" s="1"/>
    </row>
    <row r="44" spans="1:9" x14ac:dyDescent="0.4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4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21190773.534259152</v>
      </c>
      <c r="H47" s="14" t="s">
        <v>3</v>
      </c>
      <c r="I47" s="1"/>
    </row>
    <row r="48" spans="1:9" x14ac:dyDescent="0.4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4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582746.27219212672</v>
      </c>
      <c r="H49" s="14" t="s">
        <v>3</v>
      </c>
      <c r="I49" s="1"/>
    </row>
    <row r="50" spans="1:9" x14ac:dyDescent="0.4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4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45">
      <c r="A9" s="1"/>
      <c r="B9" s="92" t="s">
        <v>104</v>
      </c>
      <c r="C9" s="93"/>
      <c r="D9" s="93"/>
      <c r="E9" s="93"/>
      <c r="F9" s="94"/>
      <c r="G9" s="23">
        <v>1.428571264372198E-3</v>
      </c>
      <c r="H9" s="14"/>
      <c r="I9" s="1"/>
    </row>
    <row r="10" spans="1:9" x14ac:dyDescent="0.45">
      <c r="A10" s="1"/>
      <c r="B10" s="92" t="s">
        <v>105</v>
      </c>
      <c r="C10" s="93"/>
      <c r="D10" s="93"/>
      <c r="E10" s="93"/>
      <c r="F10" s="94"/>
      <c r="G10" s="23">
        <v>3.6513609247213856E-3</v>
      </c>
      <c r="H10" s="14"/>
      <c r="I10" s="1"/>
    </row>
    <row r="11" spans="1:9" x14ac:dyDescent="0.45">
      <c r="A11" s="1"/>
      <c r="B11" s="92" t="s">
        <v>106</v>
      </c>
      <c r="C11" s="93"/>
      <c r="D11" s="93"/>
      <c r="E11" s="93"/>
      <c r="F11" s="94"/>
      <c r="G11" s="41">
        <v>0</v>
      </c>
      <c r="H11" s="14"/>
      <c r="I11" s="1"/>
    </row>
    <row r="12" spans="1:9" x14ac:dyDescent="0.4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4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4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2020-09-24T09:00:20Z</dcterms:modified>
</cp:coreProperties>
</file>