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TÅRNBYFORSYNING VAND AS (V191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calcPr calcId="162913"/>
</workbook>
</file>

<file path=xl/calcChain.xml><?xml version="1.0" encoding="utf-8"?>
<calcChain xmlns="http://schemas.openxmlformats.org/spreadsheetml/2006/main">
  <c r="G41" i="36" l="1"/>
  <c r="G38" i="36"/>
  <c r="G37" i="36"/>
  <c r="C31" i="2" l="1"/>
  <c r="E15" i="11" l="1"/>
  <c r="E11" i="11"/>
  <c r="E12" i="11"/>
  <c r="E13" i="11"/>
  <c r="E14" i="11"/>
  <c r="G26" i="36" l="1"/>
  <c r="E41" i="32" l="1"/>
  <c r="C13" i="19" l="1"/>
  <c r="E16" i="27" l="1"/>
  <c r="E43" i="32" l="1"/>
  <c r="C23" i="23" l="1"/>
  <c r="C23" i="22"/>
  <c r="E33" i="32"/>
  <c r="G31" i="36" l="1"/>
  <c r="G31" i="30" l="1"/>
  <c r="G7" i="30"/>
  <c r="G11" i="30" s="1"/>
  <c r="C11" i="2"/>
  <c r="C11" i="15" s="1"/>
  <c r="G38" i="30" l="1"/>
  <c r="C10" i="2" l="1"/>
  <c r="C10" i="15" s="1"/>
  <c r="E10" i="11" l="1"/>
  <c r="E17" i="32" l="1"/>
  <c r="E9" i="32" l="1"/>
  <c r="E37" i="32" s="1"/>
  <c r="C28" i="15" l="1"/>
  <c r="C30" i="2"/>
  <c r="E29" i="21"/>
  <c r="E30" i="21" s="1"/>
  <c r="G53" i="36" s="1"/>
  <c r="C29" i="21"/>
  <c r="C30" i="21" s="1"/>
  <c r="G54" i="30" s="1"/>
  <c r="E23" i="21"/>
  <c r="E24" i="21" s="1"/>
  <c r="G46" i="36" s="1"/>
  <c r="C23" i="21"/>
  <c r="C24" i="21" s="1"/>
  <c r="G46" i="30" s="1"/>
  <c r="E17" i="21"/>
  <c r="E18" i="21" s="1"/>
  <c r="G40" i="36" s="1"/>
  <c r="C17" i="21"/>
  <c r="C18" i="21" s="1"/>
  <c r="G40" i="30" s="1"/>
  <c r="C15" i="15" l="1"/>
  <c r="C14" i="15"/>
  <c r="C9" i="22"/>
  <c r="C10" i="22"/>
  <c r="C10" i="23"/>
  <c r="C9" i="23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E13" i="39"/>
  <c r="E12" i="39"/>
  <c r="E29" i="39"/>
  <c r="E28" i="39"/>
  <c r="C21" i="39"/>
  <c r="C20" i="39"/>
  <c r="C37" i="39"/>
  <c r="C36" i="39"/>
  <c r="E21" i="39"/>
  <c r="E20" i="39"/>
  <c r="E37" i="39"/>
  <c r="E36" i="39"/>
  <c r="E14" i="39" l="1"/>
  <c r="C27" i="2" s="1"/>
  <c r="C22" i="39"/>
  <c r="C24" i="15" s="1"/>
  <c r="E22" i="39"/>
  <c r="C25" i="15" s="1"/>
  <c r="E38" i="39"/>
  <c r="C20" i="23" s="1"/>
  <c r="C38" i="39"/>
  <c r="C19" i="23" s="1"/>
  <c r="E30" i="39"/>
  <c r="C20" i="22" s="1"/>
  <c r="C30" i="39"/>
  <c r="C19" i="22" s="1"/>
  <c r="C14" i="39"/>
  <c r="C26" i="2" s="1"/>
  <c r="C21" i="23" l="1"/>
  <c r="C21" i="22"/>
  <c r="C26" i="15"/>
  <c r="C28" i="2"/>
  <c r="G7" i="36" l="1"/>
  <c r="G11" i="36" l="1"/>
  <c r="G13" i="30" l="1"/>
  <c r="G17" i="30" s="1"/>
  <c r="G13" i="36"/>
  <c r="G17" i="36" s="1"/>
  <c r="G20" i="30" l="1"/>
  <c r="G24" i="30" s="1"/>
  <c r="G30" i="30" s="1"/>
  <c r="G20" i="36"/>
  <c r="G24" i="36" s="1"/>
  <c r="G30" i="36" s="1"/>
  <c r="E19" i="27" l="1"/>
  <c r="E25" i="32" l="1"/>
  <c r="F15" i="11" l="1"/>
  <c r="C10" i="37" s="1"/>
  <c r="C11" i="37" s="1"/>
  <c r="C12" i="37" s="1"/>
  <c r="C12" i="2" s="1"/>
  <c r="G15" i="11"/>
  <c r="E11" i="21" l="1"/>
  <c r="C11" i="21"/>
  <c r="E11" i="29"/>
  <c r="C11" i="29"/>
  <c r="C14" i="19"/>
  <c r="C12" i="29" l="1"/>
  <c r="C16" i="2" s="1"/>
  <c r="E12" i="29"/>
  <c r="C17" i="2" s="1"/>
  <c r="C17" i="23"/>
  <c r="C17" i="22"/>
  <c r="C22" i="15"/>
  <c r="C24" i="2"/>
  <c r="E12" i="21"/>
  <c r="C15" i="2" s="1"/>
  <c r="C12" i="21"/>
  <c r="C14" i="2" s="1"/>
  <c r="G32" i="30" s="1"/>
  <c r="G37" i="30" l="1"/>
  <c r="G33" i="30"/>
  <c r="C20" i="2" s="1"/>
  <c r="C12" i="15"/>
  <c r="G26" i="30"/>
  <c r="E18" i="27" s="1"/>
  <c r="G39" i="30" l="1"/>
  <c r="E10" i="37"/>
  <c r="E11" i="37" s="1"/>
  <c r="E12" i="37" s="1"/>
  <c r="C13" i="2" s="1"/>
  <c r="G32" i="36" s="1"/>
  <c r="G33" i="36" s="1"/>
  <c r="C13" i="15" l="1"/>
  <c r="C21" i="2"/>
  <c r="G41" i="30"/>
  <c r="G45" i="30" l="1"/>
  <c r="G47" i="30" s="1"/>
  <c r="C13" i="22" s="1"/>
  <c r="C18" i="15"/>
  <c r="G39" i="36"/>
  <c r="C19" i="15" l="1"/>
  <c r="G53" i="30"/>
  <c r="G55" i="30" s="1"/>
  <c r="C13" i="23" s="1"/>
  <c r="G45" i="36" l="1"/>
  <c r="G47" i="36" s="1"/>
  <c r="E17" i="27"/>
  <c r="E20" i="27" s="1"/>
  <c r="E33" i="27" s="1"/>
  <c r="G52" i="36" l="1"/>
  <c r="G54" i="36" s="1"/>
  <c r="C14" i="23" s="1"/>
  <c r="C14" i="22"/>
  <c r="C9" i="2"/>
  <c r="C18" i="2" l="1"/>
  <c r="C19" i="2" s="1"/>
  <c r="C22" i="2" l="1"/>
  <c r="C9" i="15" l="1"/>
  <c r="C16" i="15" s="1"/>
  <c r="C17" i="15" s="1"/>
  <c r="C20" i="15" s="1"/>
  <c r="C29" i="15" s="1"/>
  <c r="C8" i="22" l="1"/>
  <c r="C11" i="22" s="1"/>
  <c r="C12" i="22" l="1"/>
  <c r="C15" i="22" l="1"/>
  <c r="C24" i="22" s="1"/>
  <c r="C8" i="23" l="1"/>
  <c r="C11" i="23" s="1"/>
  <c r="C12" i="23" l="1"/>
  <c r="C15" i="23" s="1"/>
  <c r="C24" i="23" s="1"/>
</calcChain>
</file>

<file path=xl/sharedStrings.xml><?xml version="1.0" encoding="utf-8"?>
<sst xmlns="http://schemas.openxmlformats.org/spreadsheetml/2006/main" count="627" uniqueCount="260">
  <si>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</si>
  <si>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</si>
  <si>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</si>
  <si>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</si>
  <si>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</si>
  <si>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</si>
  <si>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</si>
  <si>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</si>
  <si>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</si>
  <si>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</si>
  <si>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</si>
  <si>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</si>
  <si>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</si>
  <si>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</si>
  <si>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</si>
  <si>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</si>
  <si>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</si>
  <si>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</si>
  <si>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</si>
  <si>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</si>
  <si>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</si>
  <si>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</si>
  <si>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</si>
  <si>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</si>
  <si>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</si>
  <si>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</si>
  <si>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</si>
  <si>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</si>
  <si>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</si>
  <si>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</si>
  <si>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</si>
  <si>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</si>
  <si>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</si>
  <si>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</si>
  <si>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</si>
  <si>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</si>
  <si>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</si>
  <si>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</si>
  <si>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</si>
  <si>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</si>
  <si>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</si>
  <si>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2.3</t>
  </si>
  <si>
    <t>Fane 2.4</t>
  </si>
  <si>
    <t>Anlægsprojekter</t>
  </si>
  <si>
    <t>Bortfald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</si>
  <si>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</si>
  <si>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</si>
  <si>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</si>
  <si>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</si>
  <si>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</si>
  <si>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</si>
  <si>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</si>
  <si>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</si>
  <si>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</si>
  <si>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</si>
  <si>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</si>
  <si>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</si>
  <si>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</si>
  <si>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</si>
  <si>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</si>
  <si>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</si>
  <si>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</si>
  <si>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</si>
  <si>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</si>
  <si>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</si>
  <si>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</si>
  <si>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</si>
  <si>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</si>
  <si>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</si>
  <si>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</si>
  <si>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</si>
  <si>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</si>
  <si>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</si>
  <si>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</si>
  <si>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</si>
  <si>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</si>
  <si>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</si>
  <si>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</si>
  <si>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</si>
  <si>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</si>
  <si>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</si>
  <si>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</si>
  <si>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</si>
  <si>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</si>
  <si>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</si>
  <si>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</si>
  <si>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</si>
  <si>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</si>
  <si>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</si>
  <si>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</si>
  <si>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</si>
  <si>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</si>
  <si>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</si>
  <si>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</si>
  <si>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</si>
  <si>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</si>
  <si>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</si>
  <si>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</si>
  <si>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</si>
  <si>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</si>
  <si>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</si>
  <si>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</si>
  <si>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</si>
  <si>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</si>
  <si>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</si>
  <si>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</si>
  <si>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</si>
  <si>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</si>
  <si>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</si>
  <si>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</si>
  <si>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</si>
  <si>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</si>
  <si>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</si>
  <si>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</si>
  <si>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</si>
  <si>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</si>
  <si>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</si>
  <si>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</si>
  <si>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</si>
  <si>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</si>
  <si>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</si>
  <si>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</si>
  <si>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</si>
  <si>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</si>
  <si>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</si>
  <si>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</si>
  <si>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</si>
  <si>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2017-2018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</si>
  <si>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</si>
  <si>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</si>
  <si>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</si>
  <si>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</si>
  <si>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</si>
  <si>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</si>
  <si>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</si>
  <si>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</si>
  <si>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Til indregning i de økonomiske rammer for 2023-2026</t>
  </si>
  <si>
    <t>Individuelt effektiviseringskrav til de økonomiske rammer for 2019-2022</t>
  </si>
  <si>
    <t>Generelt effektiviseringskrav til anlægsomkostninger i de økonomiske rammer for 2022</t>
  </si>
  <si>
    <t>Generelt effektiviseringskrav til driftsomkostninger i de økonomiske rammer for 2022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</si>
  <si>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</si>
  <si>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</si>
  <si>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</si>
  <si>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4.1</t>
  </si>
  <si>
    <t>Fane 4.2</t>
  </si>
  <si>
    <t>Fane 6</t>
  </si>
  <si>
    <t>Fane 11</t>
  </si>
  <si>
    <t>Prisudvikling til brug for ØR2017-2018</t>
  </si>
  <si>
    <t>Prisudvikling til brug for ØR2019-2022</t>
  </si>
  <si>
    <t>Generelt effektiviseringskrav til brug for anlægsomkostninger i ØR2017-2018</t>
  </si>
  <si>
    <t>Generelt effektiviseringskrav til brug for nye anlægsomkostninger i ØR2018</t>
  </si>
  <si>
    <t>Generelt effektiviseringskrav til brug for nye anlægsomkostninger i ØR2020</t>
  </si>
  <si>
    <t>Generelt effektiviseringskrav til brug for anlægsomkostninger i ØR2019-2022</t>
  </si>
  <si>
    <t>Generelt effektiviseringskrav til brug for driftsomkostninger</t>
  </si>
  <si>
    <t>- Heraf nye driftsomkostninger til de økonomiske rammer for 2020</t>
  </si>
  <si>
    <t>Generelt effektiviseringskrav til driftsomkostningerne i ØR22</t>
  </si>
  <si>
    <t>- Heraf nye anlægsomkostninger til de økonomiske rammer for 2020</t>
  </si>
  <si>
    <t>Fane 3</t>
  </si>
  <si>
    <t>Korrektion af driftsomkostninger i grundlaget</t>
  </si>
  <si>
    <t>Korrektion af anlægsomkostninger i grundlaget</t>
  </si>
  <si>
    <t>Tilknyttet virksomhed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</si>
  <si>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</si>
  <si>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</si>
  <si>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</si>
  <si>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</si>
  <si>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 xml:space="preserve"> - Heraf nye omkostninger i ØR21 - Drift</t>
  </si>
  <si>
    <t xml:space="preserve"> - Heraf nye omkostninger i ØR21- Anlæg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</si>
  <si>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</si>
  <si>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</si>
  <si>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</si>
  <si>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2024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</si>
  <si>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</si>
  <si>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</si>
  <si>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</si>
  <si>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</si>
  <si>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</si>
  <si>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</si>
  <si>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</si>
  <si>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Engangstillæg i alt i 2019-prisniveau</t>
  </si>
  <si>
    <t>Engangstillæg til de økonomiske rammer for 2024</t>
  </si>
  <si>
    <t>Tilknyttet virksomhed under hovedvirksomheden</t>
  </si>
  <si>
    <t>Beskrivelse af tilknyttet virksomhed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</si>
  <si>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</si>
  <si>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</si>
  <si>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</si>
  <si>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</si>
  <si>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Samlet økonomisk ramme for 2021</t>
  </si>
  <si>
    <t>Vejledende økonomisk ramme for 2024</t>
  </si>
  <si>
    <t>Omkostninger i ØR2020</t>
  </si>
  <si>
    <t>Kontrol af den økonomiske ramme for 2019</t>
  </si>
  <si>
    <t>- Heraf nye omkostninger i ØR20 - Drift</t>
  </si>
  <si>
    <t>- Heraf nye omkostninger i ØR20 - Anlæg</t>
  </si>
  <si>
    <t>Generelt effektiviseringskrav til brug for nye anlægsomkostninger i ØR2021</t>
  </si>
  <si>
    <t>Engangstillæg i alt i 2022-prisniveau</t>
  </si>
  <si>
    <t>Engangstillæg i alt i 2023-prisniveau</t>
  </si>
  <si>
    <t>Engangstillæg i alt i 2024-prisniveau</t>
  </si>
  <si>
    <t>Nye tillæg i alt i 2020-prisniveau</t>
  </si>
  <si>
    <t>Fane 7: Kontrol med overholdelse af den økonomiske ramme for 2019</t>
  </si>
  <si>
    <t>Tilknyttet virksomhed under hovedvirksomheden i alt (2019-prisniveau)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</si>
  <si>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</si>
  <si>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</si>
  <si>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</si>
  <si>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</si>
  <si>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</si>
  <si>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</si>
  <si>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- Heraf nye driftsomkostninger til de økonomiske rammer for 2021</t>
  </si>
  <si>
    <t>- Heraf 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</si>
  <si>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</si>
  <si>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</si>
  <si>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</si>
  <si>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</si>
  <si>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</si>
  <si>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</si>
  <si>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Anlægsprojekter igangsat senest 1. marts 2016</t>
  </si>
  <si>
    <t xml:space="preserve"> - Heraf nye omkostninger i ØR20 - Drift</t>
  </si>
  <si>
    <t xml:space="preserve"> - Heraf nye omkostninger i ØR20- Anlæg</t>
  </si>
  <si>
    <t>Generelt effektiviseringskrav til anlægsomkostningerne i ØR22</t>
  </si>
  <si>
    <t>Til indregning i den økonomiske ramme for 2021-2022</t>
  </si>
  <si>
    <t>Tillæg/fradrag i den økonomiske ramme for 2021-2022</t>
  </si>
  <si>
    <t xml:space="preserve">Note: Denne opgørelse er taget fra jeres afgørelse for den økonomiske ramme for 2020. I kan derfor ikke komme med høringssvar til denne opgørelse. </t>
  </si>
  <si>
    <t>Tillæg/fradrag i den økonomiske ramme for 2023-2026</t>
  </si>
  <si>
    <t>Kontrol med overholdelse af den økonomiske ramme for 2019</t>
  </si>
  <si>
    <t>Indtægtsramme i den økonomiske ramme for 2019</t>
  </si>
  <si>
    <t>Faktiske indtægter i 2019</t>
  </si>
  <si>
    <t>Kontrol med overholdelse af økonomiske rammer</t>
  </si>
  <si>
    <t>Kontrol med overholdelse af den økonomiske ramme</t>
  </si>
  <si>
    <t>Til statusmeddelelse for 2021 og 2022</t>
  </si>
  <si>
    <t>Samlet økonomisk ramme for 2022</t>
  </si>
  <si>
    <t>Difference (2019-prisniveau)</t>
  </si>
  <si>
    <t>Difference (2018-prisniveau)</t>
  </si>
  <si>
    <t>Difference (2017-prisniveau)</t>
  </si>
  <si>
    <t>Fane 8: Anlægsprojekter igangsat senest den 1. marts 2016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</si>
  <si>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</si>
  <si>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</si>
  <si>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</si>
  <si>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</si>
  <si>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</si>
  <si>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9.1</t>
  </si>
  <si>
    <t>Fane 9.2</t>
  </si>
  <si>
    <t>Fane 10</t>
  </si>
  <si>
    <t xml:space="preserve">Note: Beregningerne af jeres individuelle effektiviseringskrav er taget fra jeres afgørelse til den økonomiske ramme for henholdsvis 2017-2018 og 2019-2022. I kan derfor ikke komme med høringssvar til denne opgørelse. </t>
  </si>
  <si>
    <t>Historisk over- eller underdækning</t>
  </si>
  <si>
    <t>Tillæg/fradrag for historisk over- eller underdækning</t>
  </si>
  <si>
    <t xml:space="preserve">Tillæg/fradrag for korrektion og kontrol 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</si>
  <si>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</si>
  <si>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</si>
  <si>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</si>
  <si>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</si>
  <si>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Køb af ydelser og produkter fra andre vandselskaber reguleret af vandsektorloven</t>
  </si>
  <si>
    <t>Ingen tilknyttet virksomhed</t>
  </si>
  <si>
    <t>Ingen bortfald eller nedsættelse</t>
  </si>
  <si>
    <t>Ingen engangstillæg</t>
  </si>
  <si>
    <t>Ø 250 mm &lt; Ledningsnet ≤ Ø 500mm</t>
  </si>
  <si>
    <t>75</t>
  </si>
  <si>
    <t>Elanlæg</t>
  </si>
  <si>
    <t>20</t>
  </si>
  <si>
    <t>SRO-brønd/kvarterbrønd/sektionsbrønd, SRO</t>
  </si>
  <si>
    <t>10</t>
  </si>
  <si>
    <t>Beholderanlæg - vandtårn</t>
  </si>
  <si>
    <t xml:space="preserve">Blødgøringsanlæg, ionbytning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</si>
</sst>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vertical="center" wrapText="1"/>
    </xf>
    <xf numFmtId="0" fontId="2" fillId="2" borderId="7" xfId="0" applyFont="1" applyFill="1" applyBorder="1" applyAlignment="1" applyProtection="1">
      <alignment vertical="center" wrapText="1"/>
    </xf>
    <xf numFmtId="0" fontId="15" fillId="8" borderId="1" xfId="0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8" borderId="2" xfId="0" quotePrefix="1" applyFont="1" applyFill="1" applyBorder="1" applyAlignment="1" applyProtection="1">
      <alignment horizontal="left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5" t="s">
        <v>4</v>
      </c>
      <c r="E6" s="65"/>
      <c r="F6" s="65"/>
      <c r="G6" s="65"/>
      <c r="H6" s="3"/>
      <c r="I6" s="1"/>
    </row>
    <row r="7" spans="1:9" ht="15" customHeight="1" x14ac:dyDescent="0.25">
      <c r="A7" s="1"/>
      <c r="B7" s="1"/>
      <c r="C7" s="3"/>
      <c r="D7" s="65"/>
      <c r="E7" s="65"/>
      <c r="F7" s="65"/>
      <c r="G7" s="65"/>
      <c r="H7" s="3"/>
      <c r="I7" s="1"/>
    </row>
    <row r="8" spans="1:9" ht="15.75" x14ac:dyDescent="0.25">
      <c r="A8" s="1"/>
      <c r="B8" s="1"/>
      <c r="C8" s="4"/>
      <c r="D8" s="67" t="s">
        <v>226</v>
      </c>
      <c r="E8" s="67"/>
      <c r="F8" s="67"/>
      <c r="G8" s="6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6" t="s">
        <v>5</v>
      </c>
      <c r="E11" s="66"/>
      <c r="F11" s="66"/>
      <c r="G11" s="6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2" t="s">
        <v>186</v>
      </c>
      <c r="E13" s="63"/>
      <c r="F13" s="63"/>
      <c r="G13" s="64"/>
      <c r="H13" s="1"/>
      <c r="I13" s="1"/>
    </row>
    <row r="14" spans="1:9" x14ac:dyDescent="0.25">
      <c r="A14" s="1"/>
      <c r="B14" s="1"/>
      <c r="C14" s="6" t="s">
        <v>15</v>
      </c>
      <c r="D14" s="62" t="s">
        <v>227</v>
      </c>
      <c r="E14" s="63"/>
      <c r="F14" s="63"/>
      <c r="G14" s="64"/>
      <c r="H14" s="1"/>
      <c r="I14" s="1"/>
    </row>
    <row r="15" spans="1:9" x14ac:dyDescent="0.25">
      <c r="A15" s="1"/>
      <c r="B15" s="1"/>
      <c r="C15" s="6" t="s">
        <v>41</v>
      </c>
      <c r="D15" s="62" t="s">
        <v>97</v>
      </c>
      <c r="E15" s="63"/>
      <c r="F15" s="63"/>
      <c r="G15" s="64"/>
      <c r="H15" s="1"/>
      <c r="I15" s="1"/>
    </row>
    <row r="16" spans="1:9" x14ac:dyDescent="0.25">
      <c r="A16" s="1"/>
      <c r="B16" s="1"/>
      <c r="C16" s="6" t="s">
        <v>42</v>
      </c>
      <c r="D16" s="62" t="s">
        <v>187</v>
      </c>
      <c r="E16" s="63"/>
      <c r="F16" s="63"/>
      <c r="G16" s="64"/>
      <c r="H16" s="1"/>
      <c r="I16" s="1"/>
    </row>
    <row r="17" spans="1:9" x14ac:dyDescent="0.25">
      <c r="A17" s="1"/>
      <c r="B17" s="1"/>
      <c r="C17" s="6" t="s">
        <v>157</v>
      </c>
      <c r="D17" s="62" t="s">
        <v>188</v>
      </c>
      <c r="E17" s="63"/>
      <c r="F17" s="63"/>
      <c r="G17" s="64"/>
      <c r="H17" s="1"/>
      <c r="I17" s="1"/>
    </row>
    <row r="18" spans="1:9" x14ac:dyDescent="0.25">
      <c r="A18" s="1"/>
      <c r="B18" s="1"/>
      <c r="C18" s="6" t="s">
        <v>143</v>
      </c>
      <c r="D18" s="68" t="s">
        <v>117</v>
      </c>
      <c r="E18" s="69"/>
      <c r="F18" s="69"/>
      <c r="G18" s="70"/>
      <c r="H18" s="1"/>
      <c r="I18" s="1"/>
    </row>
    <row r="19" spans="1:9" x14ac:dyDescent="0.25">
      <c r="A19" s="1"/>
      <c r="B19" s="1"/>
      <c r="C19" s="6" t="s">
        <v>144</v>
      </c>
      <c r="D19" s="68" t="s">
        <v>118</v>
      </c>
      <c r="E19" s="69"/>
      <c r="F19" s="69"/>
      <c r="G19" s="70"/>
      <c r="H19" s="1"/>
      <c r="I19" s="1"/>
    </row>
    <row r="20" spans="1:9" x14ac:dyDescent="0.25">
      <c r="A20" s="1"/>
      <c r="B20" s="1"/>
      <c r="C20" s="6" t="s">
        <v>7</v>
      </c>
      <c r="D20" s="68" t="s">
        <v>9</v>
      </c>
      <c r="E20" s="69"/>
      <c r="F20" s="69"/>
      <c r="G20" s="70"/>
      <c r="H20" s="1"/>
      <c r="I20" s="1"/>
    </row>
    <row r="21" spans="1:9" x14ac:dyDescent="0.25">
      <c r="A21" s="1"/>
      <c r="B21" s="1"/>
      <c r="C21" s="6" t="s">
        <v>145</v>
      </c>
      <c r="D21" s="59" t="s">
        <v>12</v>
      </c>
      <c r="E21" s="60"/>
      <c r="F21" s="60"/>
      <c r="G21" s="61"/>
      <c r="H21" s="1"/>
      <c r="I21" s="1"/>
    </row>
    <row r="22" spans="1:9" x14ac:dyDescent="0.25">
      <c r="A22" s="1"/>
      <c r="B22" s="1"/>
      <c r="C22" s="6" t="s">
        <v>101</v>
      </c>
      <c r="D22" s="53" t="s">
        <v>189</v>
      </c>
      <c r="E22" s="54"/>
      <c r="F22" s="54"/>
      <c r="G22" s="55"/>
      <c r="H22" s="1"/>
      <c r="I22" s="1"/>
    </row>
    <row r="23" spans="1:9" x14ac:dyDescent="0.25">
      <c r="A23" s="1"/>
      <c r="B23" s="1"/>
      <c r="C23" s="6" t="s">
        <v>8</v>
      </c>
      <c r="D23" s="53" t="s">
        <v>43</v>
      </c>
      <c r="E23" s="54"/>
      <c r="F23" s="54"/>
      <c r="G23" s="55"/>
      <c r="H23" s="1"/>
      <c r="I23" s="1"/>
    </row>
    <row r="24" spans="1:9" x14ac:dyDescent="0.25">
      <c r="A24" s="1"/>
      <c r="B24" s="1"/>
      <c r="C24" s="6" t="s">
        <v>237</v>
      </c>
      <c r="D24" s="53" t="s">
        <v>102</v>
      </c>
      <c r="E24" s="54"/>
      <c r="F24" s="54"/>
      <c r="G24" s="55"/>
      <c r="H24" s="1"/>
      <c r="I24" s="1"/>
    </row>
    <row r="25" spans="1:9" x14ac:dyDescent="0.25">
      <c r="A25" s="1"/>
      <c r="B25" s="1"/>
      <c r="C25" s="6" t="s">
        <v>238</v>
      </c>
      <c r="D25" s="53" t="s">
        <v>103</v>
      </c>
      <c r="E25" s="54"/>
      <c r="F25" s="54"/>
      <c r="G25" s="55"/>
      <c r="H25" s="1"/>
      <c r="I25" s="1"/>
    </row>
    <row r="26" spans="1:9" x14ac:dyDescent="0.25">
      <c r="A26" s="1"/>
      <c r="B26" s="1"/>
      <c r="C26" s="6" t="s">
        <v>239</v>
      </c>
      <c r="D26" s="53" t="s">
        <v>160</v>
      </c>
      <c r="E26" s="54"/>
      <c r="F26" s="54"/>
      <c r="G26" s="55"/>
      <c r="H26" s="1"/>
      <c r="I26" s="1"/>
    </row>
    <row r="27" spans="1:9" x14ac:dyDescent="0.25">
      <c r="A27" s="1"/>
      <c r="B27" s="1"/>
      <c r="C27" s="6" t="s">
        <v>146</v>
      </c>
      <c r="D27" s="53" t="s">
        <v>44</v>
      </c>
      <c r="E27" s="54"/>
      <c r="F27" s="54"/>
      <c r="G27" s="55"/>
      <c r="H27" s="1"/>
      <c r="I27" s="1"/>
    </row>
    <row r="28" spans="1:9" x14ac:dyDescent="0.25">
      <c r="A28" s="1"/>
      <c r="B28" s="1"/>
      <c r="C28" s="6" t="s">
        <v>130</v>
      </c>
      <c r="D28" s="56" t="s">
        <v>131</v>
      </c>
      <c r="E28" s="57"/>
      <c r="F28" s="57"/>
      <c r="G28" s="58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CU3UT9tilvGBCstqk3CGgkvkBv99+cJzniJ01g0uRNMSz14o9MzE5lqtCwOfxKBy0eNwSFKvj6s+Zv4Ol0y2MQ==" saltValue="7Sa3aWPsFV69uUeSbvSJVg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20:G20" location="'Fane 5. Individuelt eff. krav'!A1" display="Individuelt effektiviseringskrav"/>
    <hyperlink ref="D19:G19" location="'Fane 4.2. Gen. krav - anlæg'!A1" display="Generelt effektiviseringskrav på anlæg"/>
    <hyperlink ref="D18:G18" location="'Fane 4.1. Gen. krav - drift'!A1" display="Generelt effektiviseringskrav på drift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1" t="s">
        <v>142</v>
      </c>
      <c r="C3" s="71"/>
      <c r="D3" s="71"/>
      <c r="E3" s="1"/>
      <c r="F3" s="1"/>
    </row>
    <row r="4" spans="1:6" ht="15" customHeight="1" x14ac:dyDescent="0.25">
      <c r="A4" s="1"/>
      <c r="B4" s="71"/>
      <c r="C4" s="71"/>
      <c r="D4" s="7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9" t="s">
        <v>174</v>
      </c>
      <c r="C8" s="100"/>
      <c r="D8" s="101"/>
      <c r="E8" s="1"/>
      <c r="F8" s="1"/>
    </row>
    <row r="9" spans="1:6" ht="15" customHeight="1" x14ac:dyDescent="0.25">
      <c r="A9" s="1"/>
      <c r="B9" s="40" t="s">
        <v>35</v>
      </c>
      <c r="C9" s="11" t="s">
        <v>175</v>
      </c>
      <c r="D9" s="11"/>
      <c r="E9" s="1"/>
      <c r="F9" s="1"/>
    </row>
    <row r="10" spans="1:6" x14ac:dyDescent="0.25">
      <c r="A10" s="1"/>
      <c r="B10" s="51" t="s">
        <v>246</v>
      </c>
      <c r="C10" s="9">
        <v>15101283</v>
      </c>
      <c r="D10" s="14" t="s">
        <v>3</v>
      </c>
      <c r="E10" s="1"/>
      <c r="F10" s="1"/>
    </row>
    <row r="11" spans="1:6" x14ac:dyDescent="0.25">
      <c r="A11" s="1"/>
      <c r="B11" s="51" t="s">
        <v>247</v>
      </c>
      <c r="C11" s="9">
        <v>91788</v>
      </c>
      <c r="D11" s="14" t="s">
        <v>3</v>
      </c>
      <c r="E11" s="1"/>
      <c r="F11" s="1"/>
    </row>
    <row r="12" spans="1:6" x14ac:dyDescent="0.25">
      <c r="A12" s="1"/>
      <c r="B12" s="51" t="s">
        <v>248</v>
      </c>
      <c r="C12" s="9">
        <v>7768776</v>
      </c>
      <c r="D12" s="14" t="s">
        <v>3</v>
      </c>
      <c r="E12" s="1"/>
      <c r="F12" s="1"/>
    </row>
    <row r="13" spans="1:6" x14ac:dyDescent="0.25">
      <c r="A13" s="1"/>
      <c r="B13" s="47" t="s">
        <v>176</v>
      </c>
      <c r="C13" s="12">
        <f>SUM(C10:C12)</f>
        <v>22961847</v>
      </c>
      <c r="D13" s="13" t="s">
        <v>3</v>
      </c>
      <c r="E13" s="1"/>
      <c r="F13" s="1"/>
    </row>
    <row r="14" spans="1:6" x14ac:dyDescent="0.25">
      <c r="A14" s="1"/>
      <c r="B14" s="47" t="s">
        <v>177</v>
      </c>
      <c r="C14" s="12">
        <f>C13*(1+'Fane 12. Nøgletal'!C13)^2</f>
        <v>23525533.708107479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F9nh2/+adS+AgNDZCiPipyWJq5D8bxG6n1ooMcbCM73z/JqUzNfOOeEEH6Emk0xBmB4dYKwRBP3RfXmpQGaAxA==" saltValue="CIzEp/wEnhkxpTLomNWHc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1" t="s">
        <v>197</v>
      </c>
      <c r="C3" s="81"/>
      <c r="D3" s="81"/>
      <c r="E3" s="81"/>
      <c r="F3" s="81"/>
      <c r="G3" s="1"/>
    </row>
    <row r="4" spans="1:7" ht="15" customHeight="1" x14ac:dyDescent="0.25">
      <c r="A4" s="1"/>
      <c r="B4" s="81"/>
      <c r="C4" s="81"/>
      <c r="D4" s="81"/>
      <c r="E4" s="81"/>
      <c r="F4" s="81"/>
      <c r="G4" s="1"/>
    </row>
    <row r="5" spans="1:7" ht="15" customHeight="1" x14ac:dyDescent="0.25">
      <c r="A5" s="1"/>
      <c r="B5" s="45"/>
      <c r="C5" s="45"/>
      <c r="D5" s="45"/>
      <c r="E5" s="45"/>
      <c r="F5" s="45"/>
      <c r="G5" s="1"/>
    </row>
    <row r="6" spans="1:7" ht="15" customHeight="1" x14ac:dyDescent="0.25">
      <c r="A6" s="1"/>
      <c r="B6" s="99" t="s">
        <v>39</v>
      </c>
      <c r="C6" s="100"/>
      <c r="D6" s="100"/>
      <c r="E6" s="100"/>
      <c r="F6" s="101"/>
      <c r="G6" s="1"/>
    </row>
    <row r="7" spans="1:7" ht="15" customHeight="1" x14ac:dyDescent="0.25">
      <c r="A7" s="1"/>
      <c r="B7" s="102" t="s">
        <v>37</v>
      </c>
      <c r="C7" s="103"/>
      <c r="D7" s="104"/>
      <c r="E7" s="9">
        <v>1183902.7333333334</v>
      </c>
      <c r="F7" s="14" t="s">
        <v>3</v>
      </c>
      <c r="G7" s="1"/>
    </row>
    <row r="8" spans="1:7" ht="15" customHeight="1" x14ac:dyDescent="0.25">
      <c r="A8" s="1"/>
      <c r="B8" s="102" t="s">
        <v>38</v>
      </c>
      <c r="C8" s="103"/>
      <c r="D8" s="104"/>
      <c r="E8" s="9">
        <v>-106533.52040719986</v>
      </c>
      <c r="F8" s="14" t="s">
        <v>3</v>
      </c>
      <c r="G8" s="1"/>
    </row>
    <row r="9" spans="1:7" ht="15" customHeight="1" x14ac:dyDescent="0.25">
      <c r="A9" s="1"/>
      <c r="B9" s="97" t="s">
        <v>133</v>
      </c>
      <c r="C9" s="98"/>
      <c r="D9" s="112"/>
      <c r="E9" s="10">
        <f>SUM(E7:E8)</f>
        <v>1077369.2129261335</v>
      </c>
      <c r="F9" s="17" t="s">
        <v>3</v>
      </c>
      <c r="G9" s="1"/>
    </row>
    <row r="10" spans="1:7" ht="15" customHeight="1" x14ac:dyDescent="0.25">
      <c r="A10" s="1"/>
      <c r="B10" s="47"/>
      <c r="C10" s="48"/>
      <c r="D10" s="48"/>
      <c r="E10" s="48"/>
      <c r="F10" s="20"/>
      <c r="G10" s="1"/>
    </row>
    <row r="11" spans="1:7" ht="28.5" customHeight="1" x14ac:dyDescent="0.25">
      <c r="A11" s="1"/>
      <c r="B11" s="85" t="s">
        <v>134</v>
      </c>
      <c r="C11" s="86"/>
      <c r="D11" s="86"/>
      <c r="E11" s="86"/>
      <c r="F11" s="87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99" t="s">
        <v>119</v>
      </c>
      <c r="C13" s="100"/>
      <c r="D13" s="100"/>
      <c r="E13" s="100"/>
      <c r="F13" s="101"/>
      <c r="G13" s="1"/>
    </row>
    <row r="14" spans="1:7" x14ac:dyDescent="0.25">
      <c r="A14" s="1"/>
      <c r="B14" s="102" t="s">
        <v>120</v>
      </c>
      <c r="C14" s="103"/>
      <c r="D14" s="104"/>
      <c r="E14" s="9">
        <v>36993967.319766663</v>
      </c>
      <c r="F14" s="14" t="s">
        <v>3</v>
      </c>
      <c r="G14" s="1"/>
    </row>
    <row r="15" spans="1:7" x14ac:dyDescent="0.25">
      <c r="A15" s="1"/>
      <c r="B15" s="102" t="s">
        <v>121</v>
      </c>
      <c r="C15" s="103"/>
      <c r="D15" s="104"/>
      <c r="E15" s="9">
        <v>37946942</v>
      </c>
      <c r="F15" s="14" t="s">
        <v>3</v>
      </c>
      <c r="G15" s="1"/>
    </row>
    <row r="16" spans="1:7" x14ac:dyDescent="0.25">
      <c r="A16" s="1"/>
      <c r="B16" s="102" t="s">
        <v>36</v>
      </c>
      <c r="C16" s="103"/>
      <c r="D16" s="104"/>
      <c r="E16" s="9">
        <v>0</v>
      </c>
      <c r="F16" s="14" t="s">
        <v>3</v>
      </c>
      <c r="G16" s="1"/>
    </row>
    <row r="17" spans="1:7" x14ac:dyDescent="0.25">
      <c r="A17" s="1"/>
      <c r="B17" s="97" t="s">
        <v>230</v>
      </c>
      <c r="C17" s="98"/>
      <c r="D17" s="112"/>
      <c r="E17" s="10">
        <f>E14-(E15-E16)</f>
        <v>-952974.68023333699</v>
      </c>
      <c r="F17" s="17" t="s">
        <v>3</v>
      </c>
      <c r="G17" s="1"/>
    </row>
    <row r="18" spans="1:7" x14ac:dyDescent="0.25">
      <c r="A18" s="1"/>
      <c r="B18" s="47"/>
      <c r="C18" s="48"/>
      <c r="D18" s="48"/>
      <c r="E18" s="48"/>
      <c r="F18" s="20"/>
      <c r="G18" s="1"/>
    </row>
    <row r="19" spans="1:7" ht="27.75" customHeight="1" x14ac:dyDescent="0.25">
      <c r="A19" s="1"/>
      <c r="B19" s="85" t="s">
        <v>135</v>
      </c>
      <c r="C19" s="86"/>
      <c r="D19" s="86"/>
      <c r="E19" s="86"/>
      <c r="F19" s="87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99" t="s">
        <v>50</v>
      </c>
      <c r="C21" s="100"/>
      <c r="D21" s="100"/>
      <c r="E21" s="100"/>
      <c r="F21" s="101"/>
      <c r="G21" s="1"/>
    </row>
    <row r="22" spans="1:7" x14ac:dyDescent="0.25">
      <c r="A22" s="1"/>
      <c r="B22" s="102" t="s">
        <v>51</v>
      </c>
      <c r="C22" s="103"/>
      <c r="D22" s="104"/>
      <c r="E22" s="9">
        <v>39362667.935933299</v>
      </c>
      <c r="F22" s="14" t="s">
        <v>3</v>
      </c>
      <c r="G22" s="1"/>
    </row>
    <row r="23" spans="1:7" x14ac:dyDescent="0.25">
      <c r="A23" s="1"/>
      <c r="B23" s="102" t="s">
        <v>52</v>
      </c>
      <c r="C23" s="103"/>
      <c r="D23" s="104"/>
      <c r="E23" s="9">
        <v>40152143</v>
      </c>
      <c r="F23" s="14" t="s">
        <v>3</v>
      </c>
      <c r="G23" s="1"/>
    </row>
    <row r="24" spans="1:7" x14ac:dyDescent="0.25">
      <c r="A24" s="1"/>
      <c r="B24" s="102" t="s">
        <v>36</v>
      </c>
      <c r="C24" s="103"/>
      <c r="D24" s="104"/>
      <c r="E24" s="9">
        <v>0</v>
      </c>
      <c r="F24" s="14" t="s">
        <v>3</v>
      </c>
      <c r="G24" s="1"/>
    </row>
    <row r="25" spans="1:7" x14ac:dyDescent="0.25">
      <c r="A25" s="1"/>
      <c r="B25" s="97" t="s">
        <v>229</v>
      </c>
      <c r="C25" s="98"/>
      <c r="D25" s="112"/>
      <c r="E25" s="10">
        <f>E22-(E23-E24)</f>
        <v>-789475.06406670064</v>
      </c>
      <c r="F25" s="17" t="s">
        <v>3</v>
      </c>
      <c r="G25" s="1"/>
    </row>
    <row r="26" spans="1:7" x14ac:dyDescent="0.25">
      <c r="A26" s="1"/>
      <c r="B26" s="47"/>
      <c r="C26" s="48"/>
      <c r="D26" s="48"/>
      <c r="E26" s="48"/>
      <c r="F26" s="20"/>
      <c r="G26" s="1"/>
    </row>
    <row r="27" spans="1:7" ht="28.5" customHeight="1" x14ac:dyDescent="0.25">
      <c r="A27" s="1"/>
      <c r="B27" s="85" t="s">
        <v>219</v>
      </c>
      <c r="C27" s="86"/>
      <c r="D27" s="86"/>
      <c r="E27" s="86"/>
      <c r="F27" s="87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9" t="s">
        <v>221</v>
      </c>
      <c r="C29" s="100"/>
      <c r="D29" s="100"/>
      <c r="E29" s="100"/>
      <c r="F29" s="101"/>
      <c r="G29" s="1"/>
    </row>
    <row r="30" spans="1:7" x14ac:dyDescent="0.25">
      <c r="A30" s="1"/>
      <c r="B30" s="102" t="s">
        <v>222</v>
      </c>
      <c r="C30" s="103"/>
      <c r="D30" s="104"/>
      <c r="E30" s="9">
        <v>38271696.743477136</v>
      </c>
      <c r="F30" s="14" t="s">
        <v>3</v>
      </c>
      <c r="G30" s="1"/>
    </row>
    <row r="31" spans="1:7" x14ac:dyDescent="0.25">
      <c r="A31" s="1"/>
      <c r="B31" s="102" t="s">
        <v>223</v>
      </c>
      <c r="C31" s="103"/>
      <c r="D31" s="104"/>
      <c r="E31" s="9">
        <v>39297969</v>
      </c>
      <c r="F31" s="14" t="s">
        <v>3</v>
      </c>
      <c r="G31" s="1"/>
    </row>
    <row r="32" spans="1:7" x14ac:dyDescent="0.25">
      <c r="A32" s="1"/>
      <c r="B32" s="102" t="s">
        <v>36</v>
      </c>
      <c r="C32" s="103"/>
      <c r="D32" s="104"/>
      <c r="E32" s="9">
        <v>0</v>
      </c>
      <c r="F32" s="14" t="s">
        <v>3</v>
      </c>
      <c r="G32" s="1"/>
    </row>
    <row r="33" spans="1:7" x14ac:dyDescent="0.25">
      <c r="A33" s="1"/>
      <c r="B33" s="97" t="s">
        <v>228</v>
      </c>
      <c r="C33" s="98"/>
      <c r="D33" s="112"/>
      <c r="E33" s="10">
        <f>E30-(E31-E32)</f>
        <v>-1026272.2565228641</v>
      </c>
      <c r="F33" s="17" t="s">
        <v>3</v>
      </c>
      <c r="G33" s="1"/>
    </row>
    <row r="34" spans="1:7" x14ac:dyDescent="0.25">
      <c r="A34" s="1"/>
      <c r="B34" s="47"/>
      <c r="C34" s="48"/>
      <c r="D34" s="48"/>
      <c r="E34" s="48"/>
      <c r="F34" s="20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9" t="s">
        <v>217</v>
      </c>
      <c r="C36" s="100"/>
      <c r="D36" s="100"/>
      <c r="E36" s="100"/>
      <c r="F36" s="101"/>
      <c r="G36" s="1"/>
    </row>
    <row r="37" spans="1:7" x14ac:dyDescent="0.25">
      <c r="A37" s="1"/>
      <c r="B37" s="97" t="s">
        <v>218</v>
      </c>
      <c r="C37" s="98"/>
      <c r="D37" s="112"/>
      <c r="E37" s="10">
        <f>IF(AND(E9&gt;0,E17&gt;0),E9/4,IF(AND(E9&gt;0,E17&lt;0,ABS(E9)&gt;ABS(E17)),(E9+E17)/4,IF(AND(E9&lt;0,E17&gt;0,ABS(E9)&gt;ABS(E17)),(E9+E17)/4,IF(AND(E9&gt;0,E17&lt;0,ABS(E9)&lt;ABS(E17)),(E9+E17)/4+IF(E9+E17+E25&gt;0,(E25-(E9+E17+E25))/3,IF(E9+E17+E25=0,E25/3,IF(AND(E25&gt;0,E9+E17+E25&lt;0),E25/3,0))),IF(AND(E9&lt;0,E17&lt;0),(E9+E17)/4+IF(E9+E17+E25&gt;0,(E25-(E9+E17+E25))/3,IF(E9+E17+E25=0,E25/3,IF(AND(E25&gt;0,E9+E17+E25&lt;0),E25/3,0))),0)))))</f>
        <v>31098.633173199138</v>
      </c>
      <c r="F37" s="17" t="s">
        <v>3</v>
      </c>
      <c r="G37" s="1"/>
    </row>
    <row r="38" spans="1:7" x14ac:dyDescent="0.25">
      <c r="A38" s="1"/>
      <c r="B38" s="99"/>
      <c r="C38" s="100"/>
      <c r="D38" s="100"/>
      <c r="E38" s="100"/>
      <c r="F38" s="10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99" t="s">
        <v>136</v>
      </c>
      <c r="C40" s="100"/>
      <c r="D40" s="100"/>
      <c r="E40" s="100"/>
      <c r="F40" s="101"/>
      <c r="G40" s="1"/>
    </row>
    <row r="41" spans="1:7" x14ac:dyDescent="0.25">
      <c r="A41" s="1"/>
      <c r="B41" s="105" t="s">
        <v>40</v>
      </c>
      <c r="C41" s="106"/>
      <c r="D41" s="107"/>
      <c r="E41" s="9">
        <f>IF(AND((E9+E17)&lt;0,(E25+E33)&lt;0),(E25+E33),IF(AND(E9&gt;0,E17&gt;0,(E17+E25+E33)&gt;0),0,IF(AND(E9&gt;0,E17&gt;0,(E17+E25+E33)&lt;0),(E17+E25+E33),IF(AND(E9&lt;0,E17&gt;0,(E9+E17)&gt;0,(E17+E25+E33)&gt;0),0,IF(AND(E9&gt;0,E17&lt;0,(E9+E17)&gt;0,(E25+E33)&lt;0),(E25+E33),0)))))</f>
        <v>-1815747.3205895647</v>
      </c>
      <c r="F41" s="14" t="s">
        <v>3</v>
      </c>
      <c r="G41" s="1"/>
    </row>
    <row r="42" spans="1:7" x14ac:dyDescent="0.25">
      <c r="A42" s="1"/>
      <c r="B42" s="105" t="s">
        <v>132</v>
      </c>
      <c r="C42" s="106"/>
      <c r="D42" s="107"/>
      <c r="E42" s="9">
        <v>4</v>
      </c>
      <c r="F42" s="14" t="s">
        <v>19</v>
      </c>
      <c r="G42" s="1"/>
    </row>
    <row r="43" spans="1:7" x14ac:dyDescent="0.25">
      <c r="A43" s="1"/>
      <c r="B43" s="97" t="s">
        <v>220</v>
      </c>
      <c r="C43" s="98"/>
      <c r="D43" s="112"/>
      <c r="E43" s="10">
        <f>E41/E42</f>
        <v>-453936.83014739119</v>
      </c>
      <c r="F43" s="17" t="s">
        <v>3</v>
      </c>
      <c r="G43" s="1"/>
    </row>
    <row r="44" spans="1:7" x14ac:dyDescent="0.25">
      <c r="A44" s="1"/>
      <c r="B44" s="99"/>
      <c r="C44" s="100"/>
      <c r="D44" s="100"/>
      <c r="E44" s="100"/>
      <c r="F44" s="10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33"/>
      <c r="B47" s="33"/>
      <c r="C47" s="33"/>
      <c r="D47" s="33"/>
      <c r="E47" s="33"/>
      <c r="F47" s="33"/>
      <c r="G47" s="33"/>
    </row>
    <row r="48" spans="1:7" x14ac:dyDescent="0.25">
      <c r="A48" s="33"/>
      <c r="B48" s="33"/>
      <c r="C48" s="33"/>
      <c r="D48" s="33"/>
      <c r="E48" s="33"/>
      <c r="F48" s="33"/>
      <c r="G48" s="33"/>
    </row>
    <row r="49" spans="1:7" x14ac:dyDescent="0.25">
      <c r="A49" s="33"/>
      <c r="B49" s="33"/>
      <c r="C49" s="33"/>
      <c r="D49" s="33"/>
      <c r="E49" s="33"/>
      <c r="F49" s="33"/>
      <c r="G49" s="33"/>
    </row>
    <row r="50" spans="1:7" x14ac:dyDescent="0.25">
      <c r="A50" s="33"/>
      <c r="B50" s="33"/>
      <c r="C50" s="33"/>
      <c r="D50" s="33"/>
      <c r="E50" s="33"/>
      <c r="F50" s="33"/>
      <c r="G50" s="33"/>
    </row>
    <row r="51" spans="1:7" x14ac:dyDescent="0.25">
      <c r="A51" s="33"/>
      <c r="B51" s="33"/>
      <c r="C51" s="33"/>
      <c r="D51" s="33"/>
      <c r="E51" s="33"/>
      <c r="F51" s="33"/>
      <c r="G51" s="33"/>
    </row>
  </sheetData>
  <sheetProtection algorithmName="SHA-512" hashValue="96BqOj3/WeUG66IlrErGRiWarb9z527GOWxZrSt5Fvo8sRyNgj68ipRPv951Mb3OVUjdqf5DHjD+/18fsbBGqw==" saltValue="0x2fPMlXj0laVjLafnHlCQ==" spinCount="100000" sheet="1" objects="1" scenarios="1"/>
  <mergeCells count="31">
    <mergeCell ref="B31:D31"/>
    <mergeCell ref="B32:D32"/>
    <mergeCell ref="B33:D33"/>
    <mergeCell ref="B27:F27"/>
    <mergeCell ref="B3:F4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  <mergeCell ref="B44:F44"/>
    <mergeCell ref="B13:F13"/>
    <mergeCell ref="B14:D14"/>
    <mergeCell ref="B15:D15"/>
    <mergeCell ref="B11:F11"/>
    <mergeCell ref="B19:F19"/>
    <mergeCell ref="B36:F36"/>
    <mergeCell ref="B37:D37"/>
    <mergeCell ref="B38:F38"/>
    <mergeCell ref="B25:D25"/>
    <mergeCell ref="B40:F40"/>
    <mergeCell ref="B41:D41"/>
    <mergeCell ref="B42:D42"/>
    <mergeCell ref="B43:D43"/>
    <mergeCell ref="B29:F29"/>
    <mergeCell ref="B30:D30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1" t="s">
        <v>231</v>
      </c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9" t="s">
        <v>211</v>
      </c>
      <c r="C8" s="100"/>
      <c r="D8" s="100"/>
      <c r="E8" s="100"/>
      <c r="F8" s="100"/>
      <c r="G8" s="100"/>
      <c r="H8" s="101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50"/>
      <c r="I9" s="1"/>
    </row>
    <row r="10" spans="1:9" ht="26.25" x14ac:dyDescent="0.25">
      <c r="A10" s="1"/>
      <c r="B10" s="113" t="s">
        <v>252</v>
      </c>
      <c r="C10" s="114" t="s">
        <v>253</v>
      </c>
      <c r="D10" s="9">
        <v>1128955</v>
      </c>
      <c r="E10" s="9">
        <f>IFERROR(D10/C10,0)</f>
        <v>15052.733333333334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3" t="s">
        <v>254</v>
      </c>
      <c r="C11" s="114" t="s">
        <v>255</v>
      </c>
      <c r="D11" s="9">
        <v>463355</v>
      </c>
      <c r="E11" s="9">
        <f t="shared" ref="E11:E14" si="0">IFERROR(D11/C11,0)</f>
        <v>23167.75</v>
      </c>
      <c r="F11" s="9">
        <v>0</v>
      </c>
      <c r="G11" s="9">
        <v>0</v>
      </c>
      <c r="H11" s="14" t="s">
        <v>3</v>
      </c>
      <c r="I11" s="1"/>
    </row>
    <row r="12" spans="1:9" ht="39" x14ac:dyDescent="0.25">
      <c r="A12" s="1"/>
      <c r="B12" s="113" t="s">
        <v>256</v>
      </c>
      <c r="C12" s="114" t="s">
        <v>257</v>
      </c>
      <c r="D12" s="9">
        <v>2315230</v>
      </c>
      <c r="E12" s="9">
        <f t="shared" si="0"/>
        <v>231523</v>
      </c>
      <c r="F12" s="9">
        <v>0</v>
      </c>
      <c r="G12" s="9">
        <v>0</v>
      </c>
      <c r="H12" s="14" t="s">
        <v>3</v>
      </c>
      <c r="I12" s="1"/>
    </row>
    <row r="13" spans="1:9" x14ac:dyDescent="0.25">
      <c r="A13" s="1"/>
      <c r="B13" s="113" t="s">
        <v>258</v>
      </c>
      <c r="C13" s="114">
        <v>50</v>
      </c>
      <c r="D13" s="9">
        <v>1048709</v>
      </c>
      <c r="E13" s="9">
        <f t="shared" si="0"/>
        <v>20974.18</v>
      </c>
      <c r="F13" s="9">
        <v>0</v>
      </c>
      <c r="G13" s="9">
        <v>0</v>
      </c>
      <c r="H13" s="14" t="s">
        <v>3</v>
      </c>
      <c r="I13" s="1"/>
    </row>
    <row r="14" spans="1:9" ht="26.25" x14ac:dyDescent="0.25">
      <c r="A14" s="1"/>
      <c r="B14" s="113" t="s">
        <v>259</v>
      </c>
      <c r="C14" s="114" t="s">
        <v>257</v>
      </c>
      <c r="D14" s="9">
        <v>5403611</v>
      </c>
      <c r="E14" s="9">
        <f t="shared" si="0"/>
        <v>540361.1</v>
      </c>
      <c r="F14" s="9">
        <v>521328</v>
      </c>
      <c r="G14" s="9">
        <v>37841</v>
      </c>
      <c r="H14" s="14" t="s">
        <v>3</v>
      </c>
      <c r="I14" s="1"/>
    </row>
    <row r="15" spans="1:9" x14ac:dyDescent="0.25">
      <c r="A15" s="1"/>
      <c r="B15" s="99" t="s">
        <v>212</v>
      </c>
      <c r="C15" s="100"/>
      <c r="D15" s="101"/>
      <c r="E15" s="12">
        <f>SUM(E10:E14)</f>
        <v>831078.76333333331</v>
      </c>
      <c r="F15" s="12">
        <f>SUM(F10:F14)</f>
        <v>521328</v>
      </c>
      <c r="G15" s="12">
        <f>SUM(G10:G14)</f>
        <v>37841</v>
      </c>
      <c r="H15" s="13" t="s">
        <v>3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MU/24GMppL3yXMmBYqW6ZjK4mh1mq3WOpVC0GjhZeTuJ+YZvBkOQbSMQ0PRacU2Fl7RE3ZQG07mcjCYTM8rtgg==" saltValue="O0dii0tX1uyTCpOKPFDRiQ==" spinCount="100000" sheet="1" objects="1" scenarios="1"/>
  <mergeCells count="3">
    <mergeCell ref="B3:H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236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7" t="s">
        <v>98</v>
      </c>
      <c r="C8" s="48"/>
      <c r="D8" s="48"/>
      <c r="E8" s="48"/>
      <c r="F8" s="20"/>
      <c r="G8" s="1"/>
    </row>
    <row r="9" spans="1:7" ht="17.25" customHeight="1" x14ac:dyDescent="0.25">
      <c r="A9" s="1"/>
      <c r="B9" s="41" t="s">
        <v>16</v>
      </c>
      <c r="C9" s="41" t="s">
        <v>11</v>
      </c>
      <c r="D9" s="42"/>
      <c r="E9" s="41" t="s">
        <v>34</v>
      </c>
      <c r="F9" s="50"/>
      <c r="G9" s="1"/>
    </row>
    <row r="10" spans="1:7" x14ac:dyDescent="0.25">
      <c r="A10" s="1"/>
      <c r="B10" s="25" t="s">
        <v>213</v>
      </c>
      <c r="C10" s="22">
        <f>'Fane 8. Anlægsprojekter'!F15</f>
        <v>521328</v>
      </c>
      <c r="D10" s="14" t="s">
        <v>3</v>
      </c>
      <c r="E10" s="9">
        <f>SUM('Fane 8. Anlægsprojekter'!E15,'Fane 8. Anlægsprojekter'!G15)</f>
        <v>868919.76333333331</v>
      </c>
      <c r="F10" s="14" t="s">
        <v>3</v>
      </c>
      <c r="G10" s="1"/>
    </row>
    <row r="11" spans="1:7" x14ac:dyDescent="0.25">
      <c r="A11" s="1"/>
      <c r="B11" s="47" t="s">
        <v>48</v>
      </c>
      <c r="C11" s="12">
        <f>SUM(C10:C10)</f>
        <v>521328</v>
      </c>
      <c r="D11" s="13" t="s">
        <v>3</v>
      </c>
      <c r="E11" s="12">
        <f>SUM(E10:E10)</f>
        <v>868919.76333333331</v>
      </c>
      <c r="F11" s="13" t="s">
        <v>3</v>
      </c>
      <c r="G11" s="1"/>
    </row>
    <row r="12" spans="1:7" x14ac:dyDescent="0.25">
      <c r="A12" s="1"/>
      <c r="B12" s="47" t="s">
        <v>196</v>
      </c>
      <c r="C12" s="12">
        <f>C11*(1+'Fane 12. Nøgletal'!C13)</f>
        <v>527688.20160000003</v>
      </c>
      <c r="D12" s="13" t="s">
        <v>3</v>
      </c>
      <c r="E12" s="12">
        <f>E11*(1+'Fane 12. Nøgletal'!C13)</f>
        <v>879520.58444599994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B2W0BqVmoSsJ7tyo/8eTKTdQva3Zo52IrD4gUniVkWEX8Ntr30+Bj40zT5hiWY80+zGmXOCbpEr98e60nWDBUQ==" saltValue="J5Q18OxIPVfnCCYBgIur2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235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122</v>
      </c>
      <c r="C8" s="100"/>
      <c r="D8" s="100"/>
      <c r="E8" s="100"/>
      <c r="F8" s="101"/>
      <c r="G8" s="1"/>
    </row>
    <row r="9" spans="1:7" x14ac:dyDescent="0.25">
      <c r="A9" s="1"/>
      <c r="B9" s="41" t="s">
        <v>16</v>
      </c>
      <c r="C9" s="41" t="s">
        <v>11</v>
      </c>
      <c r="D9" s="42"/>
      <c r="E9" s="41" t="s">
        <v>34</v>
      </c>
      <c r="F9" s="50"/>
      <c r="G9" s="1"/>
    </row>
    <row r="10" spans="1:7" x14ac:dyDescent="0.25">
      <c r="A10" s="1"/>
      <c r="B10" s="25" t="s">
        <v>251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7" t="s">
        <v>178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126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25">
      <c r="A14" s="1"/>
      <c r="B14" s="47" t="s">
        <v>125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9" t="s">
        <v>123</v>
      </c>
      <c r="C16" s="100"/>
      <c r="D16" s="100"/>
      <c r="E16" s="100"/>
      <c r="F16" s="101"/>
      <c r="G16" s="1"/>
    </row>
    <row r="17" spans="1:7" x14ac:dyDescent="0.25">
      <c r="A17" s="1"/>
      <c r="B17" s="41" t="s">
        <v>16</v>
      </c>
      <c r="C17" s="41" t="s">
        <v>11</v>
      </c>
      <c r="D17" s="42"/>
      <c r="E17" s="41" t="s">
        <v>34</v>
      </c>
      <c r="F17" s="50"/>
      <c r="G17" s="1"/>
    </row>
    <row r="18" spans="1:7" x14ac:dyDescent="0.25">
      <c r="A18" s="1"/>
      <c r="B18" s="25" t="s">
        <v>251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7" t="s">
        <v>178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126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25">
      <c r="A22" s="1"/>
      <c r="B22" s="47" t="s">
        <v>193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9" t="s">
        <v>124</v>
      </c>
      <c r="C24" s="100"/>
      <c r="D24" s="100"/>
      <c r="E24" s="100"/>
      <c r="F24" s="101"/>
      <c r="G24" s="1"/>
    </row>
    <row r="25" spans="1:7" x14ac:dyDescent="0.25">
      <c r="A25" s="1"/>
      <c r="B25" s="41" t="s">
        <v>16</v>
      </c>
      <c r="C25" s="41" t="s">
        <v>11</v>
      </c>
      <c r="D25" s="42"/>
      <c r="E25" s="41" t="s">
        <v>34</v>
      </c>
      <c r="F25" s="50"/>
      <c r="G25" s="1"/>
    </row>
    <row r="26" spans="1:7" x14ac:dyDescent="0.25">
      <c r="A26" s="1"/>
      <c r="B26" s="25" t="s">
        <v>251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7" t="s">
        <v>178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126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25">
      <c r="A30" s="1"/>
      <c r="B30" s="47" t="s">
        <v>194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9" t="s">
        <v>179</v>
      </c>
      <c r="C32" s="100"/>
      <c r="D32" s="100"/>
      <c r="E32" s="100"/>
      <c r="F32" s="101"/>
      <c r="G32" s="1"/>
    </row>
    <row r="33" spans="1:7" x14ac:dyDescent="0.25">
      <c r="A33" s="1"/>
      <c r="B33" s="41" t="s">
        <v>16</v>
      </c>
      <c r="C33" s="41" t="s">
        <v>11</v>
      </c>
      <c r="D33" s="42"/>
      <c r="E33" s="41" t="s">
        <v>34</v>
      </c>
      <c r="F33" s="50"/>
      <c r="G33" s="1"/>
    </row>
    <row r="34" spans="1:7" x14ac:dyDescent="0.25">
      <c r="A34" s="1"/>
      <c r="B34" s="25" t="s">
        <v>251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7" t="s">
        <v>178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126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25">
      <c r="A38" s="1"/>
      <c r="B38" s="47" t="s">
        <v>195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c4c5fzytNGTMd0OSq8h59AlnAAH1fliBpZaaNdeN9vItQiEDeN3jVH0irL5fXD4h98M0A1NJG8fnBq7vcrzr1w==" saltValue="YyvWK8GZnhk98PdS64/0O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7109375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1" t="s">
        <v>234</v>
      </c>
      <c r="C3" s="81"/>
      <c r="D3" s="81"/>
      <c r="E3" s="81"/>
      <c r="F3" s="81"/>
      <c r="G3" s="1"/>
    </row>
    <row r="4" spans="1:7" ht="25.5" customHeight="1" x14ac:dyDescent="0.25">
      <c r="A4" s="1"/>
      <c r="B4" s="81"/>
      <c r="C4" s="81"/>
      <c r="D4" s="81"/>
      <c r="E4" s="81"/>
      <c r="F4" s="8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180</v>
      </c>
      <c r="C8" s="100"/>
      <c r="D8" s="100"/>
      <c r="E8" s="100"/>
      <c r="F8" s="101"/>
      <c r="G8" s="1"/>
    </row>
    <row r="9" spans="1:7" ht="15" customHeight="1" x14ac:dyDescent="0.25">
      <c r="A9" s="1"/>
      <c r="B9" s="49" t="s">
        <v>181</v>
      </c>
      <c r="C9" s="91" t="s">
        <v>11</v>
      </c>
      <c r="D9" s="93"/>
      <c r="E9" s="91" t="s">
        <v>34</v>
      </c>
      <c r="F9" s="93"/>
      <c r="G9" s="1"/>
    </row>
    <row r="10" spans="1:7" x14ac:dyDescent="0.25">
      <c r="A10" s="1"/>
      <c r="B10" s="25" t="s">
        <v>249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182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0Rkyd6Z33nWVIhx9xCV7Zd2nagAIP3lYDy5fGhZi3Fo1DSbqaOuddBm8ss+anFgUoT2h3i9pChUhUTK5pjBBbw==" saltValue="FVrSloXQyy9AUwReLhTMJ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1" t="s">
        <v>233</v>
      </c>
      <c r="C3" s="81"/>
      <c r="D3" s="81"/>
      <c r="E3" s="81"/>
      <c r="F3" s="81"/>
      <c r="G3" s="1"/>
    </row>
    <row r="4" spans="1:7" ht="25.5" customHeight="1" x14ac:dyDescent="0.25">
      <c r="A4" s="1"/>
      <c r="B4" s="81"/>
      <c r="C4" s="81"/>
      <c r="D4" s="81"/>
      <c r="E4" s="81"/>
      <c r="F4" s="8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9" t="s">
        <v>115</v>
      </c>
      <c r="C8" s="100"/>
      <c r="D8" s="100"/>
      <c r="E8" s="100"/>
      <c r="F8" s="101"/>
      <c r="G8" s="1"/>
    </row>
    <row r="9" spans="1:7" ht="15" customHeight="1" x14ac:dyDescent="0.25">
      <c r="A9" s="1"/>
      <c r="B9" s="49" t="s">
        <v>17</v>
      </c>
      <c r="C9" s="49" t="s">
        <v>11</v>
      </c>
      <c r="D9" s="50"/>
      <c r="E9" s="49" t="s">
        <v>34</v>
      </c>
      <c r="F9" s="50"/>
      <c r="G9" s="1"/>
    </row>
    <row r="10" spans="1:7" x14ac:dyDescent="0.25">
      <c r="A10" s="1"/>
      <c r="B10" s="25" t="s">
        <v>250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7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7" t="s">
        <v>108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9" t="s">
        <v>114</v>
      </c>
      <c r="C14" s="100"/>
      <c r="D14" s="100"/>
      <c r="E14" s="100"/>
      <c r="F14" s="101"/>
      <c r="G14" s="1"/>
    </row>
    <row r="15" spans="1:7" ht="26.25" x14ac:dyDescent="0.25">
      <c r="A15" s="1"/>
      <c r="B15" s="49" t="s">
        <v>17</v>
      </c>
      <c r="C15" s="49" t="s">
        <v>11</v>
      </c>
      <c r="D15" s="50"/>
      <c r="E15" s="49" t="s">
        <v>34</v>
      </c>
      <c r="F15" s="50"/>
      <c r="G15" s="1"/>
    </row>
    <row r="16" spans="1:7" x14ac:dyDescent="0.25">
      <c r="A16" s="1"/>
      <c r="B16" s="25" t="s">
        <v>250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7" t="s">
        <v>49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7" t="s">
        <v>109</v>
      </c>
      <c r="C18" s="12">
        <f>C17*(1+'Fane 12. Nøgletal'!C13)^2</f>
        <v>0</v>
      </c>
      <c r="D18" s="13" t="s">
        <v>3</v>
      </c>
      <c r="E18" s="12">
        <f>E17*(1+'Fane 12.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9" t="s">
        <v>116</v>
      </c>
      <c r="C20" s="100"/>
      <c r="D20" s="100"/>
      <c r="E20" s="100"/>
      <c r="F20" s="101"/>
      <c r="G20" s="1"/>
    </row>
    <row r="21" spans="1:7" ht="26.25" x14ac:dyDescent="0.25">
      <c r="A21" s="1"/>
      <c r="B21" s="49" t="s">
        <v>17</v>
      </c>
      <c r="C21" s="49" t="s">
        <v>11</v>
      </c>
      <c r="D21" s="50"/>
      <c r="E21" s="49" t="s">
        <v>34</v>
      </c>
      <c r="F21" s="50"/>
      <c r="G21" s="1"/>
    </row>
    <row r="22" spans="1:7" x14ac:dyDescent="0.25">
      <c r="A22" s="1"/>
      <c r="B22" s="25" t="s">
        <v>250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7" t="s">
        <v>49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7" t="s">
        <v>110</v>
      </c>
      <c r="C24" s="12">
        <f>C23*(1+'Fane 12. Nøgletal'!C13)^3</f>
        <v>0</v>
      </c>
      <c r="D24" s="13" t="s">
        <v>3</v>
      </c>
      <c r="E24" s="12">
        <f>E23*(1+'Fane 12.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9" t="s">
        <v>183</v>
      </c>
      <c r="C26" s="100"/>
      <c r="D26" s="100"/>
      <c r="E26" s="100"/>
      <c r="F26" s="101"/>
      <c r="G26" s="1"/>
    </row>
    <row r="27" spans="1:7" ht="26.25" x14ac:dyDescent="0.25">
      <c r="A27" s="1"/>
      <c r="B27" s="49" t="s">
        <v>17</v>
      </c>
      <c r="C27" s="49" t="s">
        <v>11</v>
      </c>
      <c r="D27" s="50"/>
      <c r="E27" s="49" t="s">
        <v>34</v>
      </c>
      <c r="F27" s="50"/>
      <c r="G27" s="1"/>
    </row>
    <row r="28" spans="1:7" x14ac:dyDescent="0.25">
      <c r="A28" s="1"/>
      <c r="B28" s="25" t="s">
        <v>250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7" t="s">
        <v>49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7" t="s">
        <v>184</v>
      </c>
      <c r="C30" s="12">
        <f>C29*(1+'Fane 12. Nøgletal'!C13)^4</f>
        <v>0</v>
      </c>
      <c r="D30" s="13" t="s">
        <v>3</v>
      </c>
      <c r="E30" s="12">
        <f>E29*(1+'Fane 12.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nTn4Pp92um9PGKbWoH7Vz6PvSg7OdUHLZ5A+xW2adNSizTEV/f4EOyhVC0gboTkIDlzC1xRsypb7gKBNlvR60A==" saltValue="62+iduOqgckya3eH0Dxjt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1" t="s">
        <v>232</v>
      </c>
      <c r="C3" s="81"/>
      <c r="D3" s="1"/>
    </row>
    <row r="4" spans="1:4" ht="25.5" customHeight="1" x14ac:dyDescent="0.25">
      <c r="A4" s="1"/>
      <c r="B4" s="81"/>
      <c r="C4" s="8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7" t="s">
        <v>14</v>
      </c>
      <c r="C8" s="20"/>
      <c r="D8" s="1"/>
    </row>
    <row r="9" spans="1:4" x14ac:dyDescent="0.25">
      <c r="A9" s="1"/>
      <c r="B9" s="51" t="s">
        <v>147</v>
      </c>
      <c r="C9" s="26">
        <v>1.2699999999999999E-2</v>
      </c>
      <c r="D9" s="1"/>
    </row>
    <row r="10" spans="1:4" x14ac:dyDescent="0.25">
      <c r="A10" s="1"/>
      <c r="B10" s="51" t="s">
        <v>22</v>
      </c>
      <c r="C10" s="26">
        <v>1.7500000000000002E-2</v>
      </c>
      <c r="D10" s="1"/>
    </row>
    <row r="11" spans="1:4" x14ac:dyDescent="0.25">
      <c r="A11" s="1"/>
      <c r="B11" s="51" t="s">
        <v>148</v>
      </c>
      <c r="C11" s="26">
        <v>1.6899999999999998E-2</v>
      </c>
      <c r="D11" s="1"/>
    </row>
    <row r="12" spans="1:4" x14ac:dyDescent="0.25">
      <c r="A12" s="1"/>
      <c r="B12" s="30" t="s">
        <v>47</v>
      </c>
      <c r="C12" s="31">
        <v>1.9699999999999999E-2</v>
      </c>
      <c r="D12" s="1"/>
    </row>
    <row r="13" spans="1:4" x14ac:dyDescent="0.25">
      <c r="A13" s="1"/>
      <c r="B13" s="30" t="s">
        <v>185</v>
      </c>
      <c r="C13" s="31">
        <v>1.2200000000000001E-2</v>
      </c>
      <c r="D13" s="1"/>
    </row>
    <row r="14" spans="1:4" x14ac:dyDescent="0.25">
      <c r="A14" s="1"/>
      <c r="B14" s="47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7" t="s">
        <v>128</v>
      </c>
      <c r="C17" s="20"/>
      <c r="D17" s="1"/>
    </row>
    <row r="18" spans="1:4" x14ac:dyDescent="0.25">
      <c r="A18" s="1"/>
      <c r="B18" s="51" t="s">
        <v>149</v>
      </c>
      <c r="C18" s="23">
        <v>9.1000000000000004E-3</v>
      </c>
      <c r="D18" s="1"/>
    </row>
    <row r="19" spans="1:4" x14ac:dyDescent="0.25">
      <c r="A19" s="1"/>
      <c r="B19" s="51" t="s">
        <v>150</v>
      </c>
      <c r="C19" s="23">
        <v>1.77E-2</v>
      </c>
      <c r="D19" s="1"/>
    </row>
    <row r="20" spans="1:4" x14ac:dyDescent="0.25">
      <c r="A20" s="1"/>
      <c r="B20" s="51" t="s">
        <v>152</v>
      </c>
      <c r="C20" s="23">
        <v>8.6999999999999994E-3</v>
      </c>
      <c r="D20" s="1"/>
    </row>
    <row r="21" spans="1:4" x14ac:dyDescent="0.25">
      <c r="A21" s="1"/>
      <c r="B21" s="51" t="s">
        <v>151</v>
      </c>
      <c r="C21" s="32">
        <v>2.8400000000000002E-2</v>
      </c>
      <c r="D21" s="1"/>
    </row>
    <row r="22" spans="1:4" x14ac:dyDescent="0.25">
      <c r="A22" s="1"/>
      <c r="B22" s="51" t="s">
        <v>192</v>
      </c>
      <c r="C22" s="32">
        <v>2.75E-2</v>
      </c>
      <c r="D22" s="1"/>
    </row>
    <row r="23" spans="1:4" x14ac:dyDescent="0.25">
      <c r="A23" s="1"/>
      <c r="B23" s="47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47" t="s">
        <v>129</v>
      </c>
      <c r="C26" s="20"/>
      <c r="D26" s="1"/>
    </row>
    <row r="27" spans="1:4" x14ac:dyDescent="0.25">
      <c r="A27" s="1"/>
      <c r="B27" s="51" t="s">
        <v>153</v>
      </c>
      <c r="C27" s="26">
        <v>0.02</v>
      </c>
      <c r="D27" s="1"/>
    </row>
    <row r="28" spans="1:4" x14ac:dyDescent="0.25">
      <c r="A28" s="1"/>
      <c r="B28" s="47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6N+oFOaUSSwd6Y7AtFSsfORls6LJDpVbhpGSovVWNKUBkOjuLktB+3fVSenihczg0mzqxO9h1NuCHnn55vS3PA==" saltValue="iCias2kkktFBfvwnpl2BY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7.14062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1" t="s">
        <v>161</v>
      </c>
      <c r="C3" s="71"/>
      <c r="D3" s="71"/>
      <c r="E3" s="1"/>
    </row>
    <row r="4" spans="1:5" ht="15" customHeight="1" x14ac:dyDescent="0.25">
      <c r="A4" s="1"/>
      <c r="B4" s="71"/>
      <c r="C4" s="71"/>
      <c r="D4" s="7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7" t="s">
        <v>13</v>
      </c>
      <c r="C8" s="48"/>
      <c r="D8" s="20"/>
      <c r="E8" s="1"/>
    </row>
    <row r="9" spans="1:5" x14ac:dyDescent="0.25">
      <c r="A9" s="1"/>
      <c r="B9" s="46" t="s">
        <v>25</v>
      </c>
      <c r="C9" s="7">
        <f>'Fane 3. Omkostninger i ØR2020'!E20</f>
        <v>15815391.116581028</v>
      </c>
      <c r="D9" s="8" t="s">
        <v>3</v>
      </c>
      <c r="E9" s="1"/>
    </row>
    <row r="10" spans="1:5" x14ac:dyDescent="0.25">
      <c r="A10" s="1"/>
      <c r="B10" s="39" t="s">
        <v>190</v>
      </c>
      <c r="C10" s="7">
        <f>(SUM('Fane 3. Omkostninger i ØR2020'!E10,'Fane 3. Omkostninger i ØR2020'!E14,'Fane 3. Omkostninger i ØR2020'!E12)*(1+'Fane 12. Nøgletal'!C12)*(1-'Fane 12. Nøgletal'!C27-'Fane 5. Individuelt eff. krav'!G10))</f>
        <v>531229.23247584968</v>
      </c>
      <c r="D10" s="8" t="s">
        <v>3</v>
      </c>
      <c r="E10" s="1"/>
    </row>
    <row r="11" spans="1:5" x14ac:dyDescent="0.25">
      <c r="A11" s="1"/>
      <c r="B11" s="39" t="s">
        <v>191</v>
      </c>
      <c r="C11" s="7">
        <f>(SUM('Fane 3. Omkostninger i ØR2020'!E11,'Fane 3. Omkostninger i ØR2020'!E13,'Fane 3. Omkostninger i ØR2020'!E15))*(1+'Fane 12. Nøgletal'!C12)*(1-'Fane 12. Nøgletal'!C21-'Fane 5. Individuelt eff. krav'!G10)</f>
        <v>584133.35972870816</v>
      </c>
      <c r="D11" s="8" t="s">
        <v>3</v>
      </c>
      <c r="E11" s="1"/>
    </row>
    <row r="12" spans="1:5" ht="17.100000000000001" customHeight="1" x14ac:dyDescent="0.25">
      <c r="A12" s="1"/>
      <c r="B12" s="43" t="s">
        <v>45</v>
      </c>
      <c r="C12" s="7">
        <f>'Fane 9.1. Varige tillæg'!C12</f>
        <v>527688.20160000003</v>
      </c>
      <c r="D12" s="8" t="s">
        <v>3</v>
      </c>
      <c r="E12" s="1"/>
    </row>
    <row r="13" spans="1:5" ht="17.100000000000001" customHeight="1" x14ac:dyDescent="0.25">
      <c r="A13" s="1"/>
      <c r="B13" s="43" t="s">
        <v>46</v>
      </c>
      <c r="C13" s="9">
        <f>'Fane 9.1. Varige tillæg'!E12</f>
        <v>879520.58444599994</v>
      </c>
      <c r="D13" s="8" t="s">
        <v>3</v>
      </c>
      <c r="E13" s="1"/>
    </row>
    <row r="14" spans="1:5" ht="17.100000000000001" customHeight="1" x14ac:dyDescent="0.25">
      <c r="A14" s="1"/>
      <c r="B14" s="43" t="s">
        <v>30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43" t="s">
        <v>29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43" t="s">
        <v>162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43" t="s">
        <v>163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43" t="s">
        <v>18</v>
      </c>
      <c r="C18" s="9">
        <f>(C9-SUM(C10:C11))*'Fane 12. Nøgletal'!C11+SUM(C10:C11)*'Fane 12. Nøgletal'!C12+SUM(C12:C17)*'Fane 12. Nøgletal'!C13</f>
        <v>287571.07231815334</v>
      </c>
      <c r="D18" s="8" t="s">
        <v>3</v>
      </c>
      <c r="E18" s="1"/>
    </row>
    <row r="19" spans="1:5" ht="17.100000000000001" customHeight="1" x14ac:dyDescent="0.25">
      <c r="A19" s="1"/>
      <c r="B19" s="43" t="s">
        <v>9</v>
      </c>
      <c r="C19" s="9">
        <f>-SUM(C9:C18)*'Fane 5. Individuelt eff. krav'!G10</f>
        <v>0</v>
      </c>
      <c r="D19" s="8" t="s">
        <v>3</v>
      </c>
      <c r="E19" s="1"/>
    </row>
    <row r="20" spans="1:5" ht="17.100000000000001" customHeight="1" x14ac:dyDescent="0.25">
      <c r="A20" s="1"/>
      <c r="B20" s="43" t="s">
        <v>27</v>
      </c>
      <c r="C20" s="9">
        <f>-'Fane 4.1. Gen. krav - drift'!G33</f>
        <v>-177443.24162442982</v>
      </c>
      <c r="D20" s="8" t="s">
        <v>3</v>
      </c>
      <c r="E20" s="1"/>
    </row>
    <row r="21" spans="1:5" ht="17.100000000000001" customHeight="1" x14ac:dyDescent="0.25">
      <c r="A21" s="1"/>
      <c r="B21" s="43" t="s">
        <v>28</v>
      </c>
      <c r="C21" s="9">
        <f>-'Fane 4.2. Gen. krav - anlæg'!G33</f>
        <v>-103614.72412188134</v>
      </c>
      <c r="D21" s="8" t="s">
        <v>3</v>
      </c>
      <c r="E21" s="1"/>
    </row>
    <row r="22" spans="1:5" ht="17.100000000000001" customHeight="1" x14ac:dyDescent="0.25">
      <c r="A22" s="1"/>
      <c r="B22" s="44" t="s">
        <v>20</v>
      </c>
      <c r="C22" s="10">
        <f>SUM(C9,C12:C21)</f>
        <v>17229113.009198871</v>
      </c>
      <c r="D22" s="11" t="s">
        <v>3</v>
      </c>
      <c r="E22" s="1"/>
    </row>
    <row r="23" spans="1:5" ht="15" customHeight="1" x14ac:dyDescent="0.25">
      <c r="A23" s="1"/>
      <c r="B23" s="47" t="s">
        <v>12</v>
      </c>
      <c r="C23" s="48"/>
      <c r="D23" s="20"/>
      <c r="E23" s="1"/>
    </row>
    <row r="24" spans="1:5" ht="15" customHeight="1" x14ac:dyDescent="0.25">
      <c r="A24" s="1"/>
      <c r="B24" s="49" t="s">
        <v>12</v>
      </c>
      <c r="C24" s="10">
        <f>'Fane 6. Ikke-påvirkelige omk.'!C14</f>
        <v>23525533.708107479</v>
      </c>
      <c r="D24" s="11" t="s">
        <v>3</v>
      </c>
      <c r="E24" s="1"/>
    </row>
    <row r="25" spans="1:5" ht="15" customHeight="1" x14ac:dyDescent="0.25">
      <c r="A25" s="1"/>
      <c r="B25" s="47" t="s">
        <v>103</v>
      </c>
      <c r="C25" s="48"/>
      <c r="D25" s="20"/>
      <c r="E25" s="1"/>
    </row>
    <row r="26" spans="1:5" ht="15" customHeight="1" x14ac:dyDescent="0.25">
      <c r="A26" s="1"/>
      <c r="B26" s="43" t="s">
        <v>99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43" t="s">
        <v>100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44" t="s">
        <v>104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4" t="s">
        <v>224</v>
      </c>
      <c r="C29" s="48"/>
      <c r="D29" s="20"/>
      <c r="E29" s="1"/>
    </row>
    <row r="30" spans="1:5" x14ac:dyDescent="0.25">
      <c r="A30" s="1"/>
      <c r="B30" s="35" t="s">
        <v>225</v>
      </c>
      <c r="C30" s="10">
        <f>'Fane 7. Kontrol af ØR2019'!E37</f>
        <v>31098.633173199138</v>
      </c>
      <c r="D30" s="11" t="s">
        <v>3</v>
      </c>
      <c r="E30" s="1"/>
    </row>
    <row r="31" spans="1:5" x14ac:dyDescent="0.25">
      <c r="A31" s="1"/>
      <c r="B31" s="47" t="s">
        <v>31</v>
      </c>
      <c r="C31" s="12">
        <f>SUM(C22,C24,C28,C30)</f>
        <v>40785745.350479543</v>
      </c>
      <c r="D31" s="13" t="s">
        <v>3</v>
      </c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PKhWLtuZmJvTL+x2H+AXcVtcK6PqkkrF0N7VuuqhEEtUnqLj35PkjQp1J1WHcq6Dw2IhrOODFkCPp0CTx4Fj+Q==" saltValue="kHToy//xy5yS28C2smgbd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1" t="s">
        <v>164</v>
      </c>
      <c r="C3" s="71"/>
      <c r="D3" s="71"/>
      <c r="E3" s="1"/>
    </row>
    <row r="4" spans="1:5" ht="15" customHeight="1" x14ac:dyDescent="0.25">
      <c r="A4" s="1"/>
      <c r="B4" s="71"/>
      <c r="C4" s="71"/>
      <c r="D4" s="71"/>
      <c r="E4" s="1"/>
    </row>
    <row r="5" spans="1:5" x14ac:dyDescent="0.25">
      <c r="A5" s="1"/>
      <c r="B5" s="72"/>
      <c r="C5" s="72"/>
      <c r="D5" s="72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7" t="s">
        <v>13</v>
      </c>
      <c r="C8" s="48"/>
      <c r="D8" s="20"/>
      <c r="E8" s="1"/>
    </row>
    <row r="9" spans="1:5" ht="15" customHeight="1" x14ac:dyDescent="0.25">
      <c r="A9" s="1"/>
      <c r="B9" s="46" t="s">
        <v>26</v>
      </c>
      <c r="C9" s="7">
        <f>'Fane 2.1. Økonomisk ramme 2021'!C22</f>
        <v>17229113.009198871</v>
      </c>
      <c r="D9" s="8" t="s">
        <v>3</v>
      </c>
      <c r="E9" s="1"/>
    </row>
    <row r="10" spans="1:5" ht="15" customHeight="1" x14ac:dyDescent="0.25">
      <c r="A10" s="1"/>
      <c r="B10" s="46" t="s">
        <v>214</v>
      </c>
      <c r="C10" s="7">
        <f>'Fane 2.1. Økonomisk ramme 2021'!C10*(1-'Fane 12. Nøgletal'!C27)*(1+'Fane 12. Nøgletal'!C12)</f>
        <v>530860.55938851146</v>
      </c>
      <c r="D10" s="8" t="s">
        <v>3</v>
      </c>
      <c r="E10" s="1"/>
    </row>
    <row r="11" spans="1:5" ht="15" customHeight="1" x14ac:dyDescent="0.25">
      <c r="A11" s="1"/>
      <c r="B11" s="46" t="s">
        <v>215</v>
      </c>
      <c r="C11" s="7">
        <f>'Fane 2.1. Økonomisk ramme 2021'!C11*(1-'Fane 12. Nøgletal'!C21)*(1+'Fane 12. Nøgletal'!C12)</f>
        <v>578724.5885669674</v>
      </c>
      <c r="D11" s="8" t="s">
        <v>3</v>
      </c>
      <c r="E11" s="1"/>
    </row>
    <row r="12" spans="1:5" ht="15" customHeight="1" x14ac:dyDescent="0.25">
      <c r="A12" s="1"/>
      <c r="B12" s="52" t="s">
        <v>165</v>
      </c>
      <c r="C12" s="7">
        <f>('Fane 2.1. Økonomisk ramme 2021'!C12+'Fane 2.1. Økonomisk ramme 2021'!C14+'Fane 2.1. Økonomisk ramme 2021'!C16)*(1-'Fane 12. Nøgletal'!C27-'Fane 5. Individuelt eff. krav'!G10)*(1+'Fane 12. Nøgletal'!C13)</f>
        <v>523443.47770632961</v>
      </c>
      <c r="D12" s="8" t="s">
        <v>3</v>
      </c>
      <c r="E12" s="1"/>
    </row>
    <row r="13" spans="1:5" ht="15" customHeight="1" x14ac:dyDescent="0.25">
      <c r="A13" s="1"/>
      <c r="B13" s="52" t="s">
        <v>166</v>
      </c>
      <c r="C13" s="7">
        <f>('Fane 2.1. Økonomisk ramme 2021'!C13+'Fane 2.1. Økonomisk ramme 2021'!C15+'Fane 2.1. Økonomisk ramme 2021'!C17)*(1-'Fane 12. Nøgletal'!C22-'Fane 5. Individuelt eff. krav'!G10)*(1+'Fane 12. Nøgletal'!C13)</f>
        <v>865768.84034789458</v>
      </c>
      <c r="D13" s="8" t="s">
        <v>3</v>
      </c>
      <c r="E13" s="1"/>
    </row>
    <row r="14" spans="1:5" ht="15" customHeight="1" x14ac:dyDescent="0.25">
      <c r="A14" s="1"/>
      <c r="B14" s="43" t="s">
        <v>30</v>
      </c>
      <c r="C14" s="7">
        <f>-'Fane 11. Bortfald'!C18</f>
        <v>0</v>
      </c>
      <c r="D14" s="8" t="s">
        <v>3</v>
      </c>
      <c r="E14" s="1"/>
    </row>
    <row r="15" spans="1:5" ht="15" customHeight="1" x14ac:dyDescent="0.25">
      <c r="A15" s="1"/>
      <c r="B15" s="43" t="s">
        <v>29</v>
      </c>
      <c r="C15" s="7">
        <f>-'Fane 11. Bortfald'!E18</f>
        <v>0</v>
      </c>
      <c r="D15" s="8" t="s">
        <v>3</v>
      </c>
      <c r="E15" s="1"/>
    </row>
    <row r="16" spans="1:5" ht="15" customHeight="1" x14ac:dyDescent="0.25">
      <c r="A16" s="1"/>
      <c r="B16" s="39" t="s">
        <v>18</v>
      </c>
      <c r="C16" s="9">
        <f>(C9-SUM(C10:C13))*'Fane 12. Nøgletal'!C11+SUM(C10:C11)*'Fane 12. Nøgletal'!C12+SUM(C12:C15)*'Fane 12. Nøgletal'!C13</f>
        <v>287749.55037488136</v>
      </c>
      <c r="D16" s="8" t="s">
        <v>3</v>
      </c>
      <c r="E16" s="1"/>
    </row>
    <row r="17" spans="1:5" ht="15" customHeight="1" x14ac:dyDescent="0.25">
      <c r="A17" s="1"/>
      <c r="B17" s="39" t="s">
        <v>9</v>
      </c>
      <c r="C17" s="9">
        <f>-SUM(C9,C14:C16)*'Fane 5. Individuelt eff. krav'!G10</f>
        <v>0</v>
      </c>
      <c r="D17" s="8" t="s">
        <v>3</v>
      </c>
      <c r="E17" s="1"/>
    </row>
    <row r="18" spans="1:5" ht="15" customHeight="1" x14ac:dyDescent="0.25">
      <c r="A18" s="1"/>
      <c r="B18" s="39" t="s">
        <v>27</v>
      </c>
      <c r="C18" s="9">
        <f>-'Fane 4.1. Gen. krav - drift'!G41</f>
        <v>-176813.71626414638</v>
      </c>
      <c r="D18" s="8" t="s">
        <v>3</v>
      </c>
      <c r="E18" s="1"/>
    </row>
    <row r="19" spans="1:5" x14ac:dyDescent="0.25">
      <c r="A19" s="1"/>
      <c r="B19" s="39" t="s">
        <v>28</v>
      </c>
      <c r="C19" s="9">
        <f>-'Fane 4.2. Gen. krav - anlæg'!G41</f>
        <v>-103576.3309080366</v>
      </c>
      <c r="D19" s="8" t="s">
        <v>3</v>
      </c>
      <c r="E19" s="1"/>
    </row>
    <row r="20" spans="1:5" ht="15" customHeight="1" x14ac:dyDescent="0.25">
      <c r="A20" s="1"/>
      <c r="B20" s="40" t="s">
        <v>20</v>
      </c>
      <c r="C20" s="10">
        <f>SUM(C9,C14:C19)</f>
        <v>17236472.512401566</v>
      </c>
      <c r="D20" s="11" t="s">
        <v>3</v>
      </c>
      <c r="E20" s="1"/>
    </row>
    <row r="21" spans="1:5" ht="15" customHeight="1" x14ac:dyDescent="0.25">
      <c r="A21" s="1"/>
      <c r="B21" s="47" t="s">
        <v>12</v>
      </c>
      <c r="C21" s="48"/>
      <c r="D21" s="20"/>
      <c r="E21" s="1"/>
    </row>
    <row r="22" spans="1:5" ht="15" customHeight="1" x14ac:dyDescent="0.25">
      <c r="A22" s="1"/>
      <c r="B22" s="49" t="s">
        <v>12</v>
      </c>
      <c r="C22" s="10">
        <f>'Fane 6. Ikke-påvirkelige omk.'!C14*(1+'Fane 12. Nøgletal'!C13)</f>
        <v>23812545.219346389</v>
      </c>
      <c r="D22" s="11" t="s">
        <v>3</v>
      </c>
      <c r="E22" s="1"/>
    </row>
    <row r="23" spans="1:5" ht="15" customHeight="1" x14ac:dyDescent="0.25">
      <c r="A23" s="1"/>
      <c r="B23" s="47" t="s">
        <v>103</v>
      </c>
      <c r="C23" s="48"/>
      <c r="D23" s="20"/>
      <c r="E23" s="1"/>
    </row>
    <row r="24" spans="1:5" ht="15" customHeight="1" x14ac:dyDescent="0.25">
      <c r="A24" s="1"/>
      <c r="B24" s="43" t="s">
        <v>99</v>
      </c>
      <c r="C24" s="9">
        <f>'Fane 9.2. Engangstillæg'!C22</f>
        <v>0</v>
      </c>
      <c r="D24" s="8" t="s">
        <v>3</v>
      </c>
      <c r="E24" s="1"/>
    </row>
    <row r="25" spans="1:5" x14ac:dyDescent="0.25">
      <c r="A25" s="1"/>
      <c r="B25" s="43" t="s">
        <v>100</v>
      </c>
      <c r="C25" s="9">
        <f>'Fane 9.2. Engangstillæg'!E22</f>
        <v>0</v>
      </c>
      <c r="D25" s="8" t="s">
        <v>3</v>
      </c>
      <c r="E25" s="1"/>
    </row>
    <row r="26" spans="1:5" ht="15" customHeight="1" x14ac:dyDescent="0.25">
      <c r="A26" s="1"/>
      <c r="B26" s="44" t="s">
        <v>104</v>
      </c>
      <c r="C26" s="10">
        <f>SUM(C24:C25)</f>
        <v>0</v>
      </c>
      <c r="D26" s="11" t="s">
        <v>3</v>
      </c>
      <c r="E26" s="1"/>
    </row>
    <row r="27" spans="1:5" ht="15" customHeight="1" x14ac:dyDescent="0.25">
      <c r="A27" s="1"/>
      <c r="B27" s="34" t="s">
        <v>224</v>
      </c>
      <c r="C27" s="48"/>
      <c r="D27" s="20"/>
      <c r="E27" s="1"/>
    </row>
    <row r="28" spans="1:5" ht="15" customHeight="1" x14ac:dyDescent="0.25">
      <c r="A28" s="1"/>
      <c r="B28" s="35" t="s">
        <v>225</v>
      </c>
      <c r="C28" s="10">
        <f>'Fane 7. Kontrol af ØR2019'!E37</f>
        <v>31098.633173199138</v>
      </c>
      <c r="D28" s="11" t="s">
        <v>3</v>
      </c>
      <c r="E28" s="1"/>
    </row>
    <row r="29" spans="1:5" x14ac:dyDescent="0.25">
      <c r="A29" s="1"/>
      <c r="B29" s="47" t="s">
        <v>32</v>
      </c>
      <c r="C29" s="12">
        <f>SUM(C20,C22,C26,C28)</f>
        <v>41080116.364921153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R/PmEaH4O5Pe9qpCRAiKfGGs4vO5mG/u4B/LkinAI92VQ5Zq8FxtNnPKaPaTbgQN/yImFpje3y7H7Wf0C4osuQ==" saltValue="8T08z5dWRl5CE2q565TDR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1" t="s">
        <v>167</v>
      </c>
      <c r="C3" s="71"/>
      <c r="D3" s="71"/>
      <c r="E3" s="1"/>
    </row>
    <row r="4" spans="1:5" ht="15" customHeight="1" x14ac:dyDescent="0.25">
      <c r="A4" s="1"/>
      <c r="B4" s="71"/>
      <c r="C4" s="71"/>
      <c r="D4" s="71"/>
      <c r="E4" s="1"/>
    </row>
    <row r="5" spans="1:5" x14ac:dyDescent="0.25">
      <c r="A5" s="1"/>
      <c r="B5" s="72" t="s">
        <v>21</v>
      </c>
      <c r="C5" s="72"/>
      <c r="D5" s="72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7" t="s">
        <v>13</v>
      </c>
      <c r="C7" s="48"/>
      <c r="D7" s="20"/>
      <c r="E7" s="1"/>
    </row>
    <row r="8" spans="1:5" ht="15" customHeight="1" x14ac:dyDescent="0.25">
      <c r="A8" s="1"/>
      <c r="B8" s="46" t="s">
        <v>168</v>
      </c>
      <c r="C8" s="7">
        <f>'Fane 2.2. Økonomisk ramme 2022'!C20</f>
        <v>17236472.512401566</v>
      </c>
      <c r="D8" s="8" t="s">
        <v>3</v>
      </c>
      <c r="E8" s="1"/>
    </row>
    <row r="9" spans="1:5" ht="15" customHeight="1" x14ac:dyDescent="0.25">
      <c r="A9" s="1"/>
      <c r="B9" s="46" t="s">
        <v>30</v>
      </c>
      <c r="C9" s="7">
        <f>-'Fane 11. Bortfald'!C24</f>
        <v>0</v>
      </c>
      <c r="D9" s="8" t="s">
        <v>3</v>
      </c>
      <c r="E9" s="1"/>
    </row>
    <row r="10" spans="1:5" ht="15" customHeight="1" x14ac:dyDescent="0.25">
      <c r="A10" s="1"/>
      <c r="B10" s="46" t="s">
        <v>29</v>
      </c>
      <c r="C10" s="7">
        <f>-'Fane 11. Bortfald'!E24</f>
        <v>0</v>
      </c>
      <c r="D10" s="8" t="s">
        <v>3</v>
      </c>
      <c r="E10" s="1"/>
    </row>
    <row r="11" spans="1:5" ht="15" customHeight="1" x14ac:dyDescent="0.25">
      <c r="A11" s="1"/>
      <c r="B11" s="39" t="s">
        <v>18</v>
      </c>
      <c r="C11" s="9">
        <f>SUM(C8:C10)*'Fane 12. Nøgletal'!C13</f>
        <v>210284.96465129912</v>
      </c>
      <c r="D11" s="8" t="s">
        <v>3</v>
      </c>
      <c r="E11" s="1"/>
    </row>
    <row r="12" spans="1:5" ht="15" customHeight="1" x14ac:dyDescent="0.25">
      <c r="A12" s="1"/>
      <c r="B12" s="39" t="s">
        <v>9</v>
      </c>
      <c r="C12" s="9">
        <f>-SUM(C8,C9:C11)*'Fane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39" t="s">
        <v>27</v>
      </c>
      <c r="C13" s="9">
        <f>-'Fane 4.1. Gen. krav - drift'!G47</f>
        <v>-175391.42673051759</v>
      </c>
      <c r="D13" s="8" t="s">
        <v>3</v>
      </c>
      <c r="E13" s="1"/>
    </row>
    <row r="14" spans="1:5" ht="15" customHeight="1" x14ac:dyDescent="0.25">
      <c r="A14" s="1"/>
      <c r="B14" s="39" t="s">
        <v>28</v>
      </c>
      <c r="C14" s="9">
        <f>-'Fane 4.2. Gen. krav - anlæg'!G47</f>
        <v>-238600.52533075004</v>
      </c>
      <c r="D14" s="8" t="s">
        <v>3</v>
      </c>
      <c r="E14" s="1"/>
    </row>
    <row r="15" spans="1:5" x14ac:dyDescent="0.25">
      <c r="A15" s="1"/>
      <c r="B15" s="40" t="s">
        <v>20</v>
      </c>
      <c r="C15" s="10">
        <f>SUM(C8,C9:C14)</f>
        <v>17032765.524991598</v>
      </c>
      <c r="D15" s="11" t="s">
        <v>3</v>
      </c>
      <c r="E15" s="1"/>
    </row>
    <row r="16" spans="1:5" x14ac:dyDescent="0.25">
      <c r="A16" s="1"/>
      <c r="B16" s="47" t="s">
        <v>12</v>
      </c>
      <c r="C16" s="48"/>
      <c r="D16" s="20"/>
      <c r="E16" s="1"/>
    </row>
    <row r="17" spans="1:5" ht="15" customHeight="1" x14ac:dyDescent="0.25">
      <c r="A17" s="1"/>
      <c r="B17" s="49" t="s">
        <v>12</v>
      </c>
      <c r="C17" s="10">
        <f>'Fane 6. Ikke-påvirkelige omk.'!C14*(1+'Fane 12. Nøgletal'!C13)^2</f>
        <v>24103058.271022417</v>
      </c>
      <c r="D17" s="11" t="s">
        <v>3</v>
      </c>
      <c r="E17" s="1"/>
    </row>
    <row r="18" spans="1:5" ht="15" customHeight="1" x14ac:dyDescent="0.25">
      <c r="A18" s="1"/>
      <c r="B18" s="47" t="s">
        <v>103</v>
      </c>
      <c r="C18" s="48"/>
      <c r="D18" s="20"/>
      <c r="E18" s="1"/>
    </row>
    <row r="19" spans="1:5" ht="15" customHeight="1" x14ac:dyDescent="0.25">
      <c r="A19" s="1"/>
      <c r="B19" s="43" t="s">
        <v>99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43" t="s">
        <v>100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44" t="s">
        <v>104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4" t="s">
        <v>224</v>
      </c>
      <c r="C22" s="48"/>
      <c r="D22" s="20"/>
      <c r="E22" s="1"/>
    </row>
    <row r="23" spans="1:5" ht="15" customHeight="1" x14ac:dyDescent="0.25">
      <c r="A23" s="1"/>
      <c r="B23" s="35" t="s">
        <v>225</v>
      </c>
      <c r="C23" s="10">
        <f>'Fane 7. Kontrol af ØR2019'!E43</f>
        <v>-453936.83014739119</v>
      </c>
      <c r="D23" s="11" t="s">
        <v>3</v>
      </c>
      <c r="E23" s="1"/>
    </row>
    <row r="24" spans="1:5" x14ac:dyDescent="0.25">
      <c r="A24" s="1"/>
      <c r="B24" s="47" t="s">
        <v>113</v>
      </c>
      <c r="C24" s="12">
        <f>SUM(C15,C17,C21,C23)</f>
        <v>40681886.965866618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UXT9PXEyTHgKhTVfMiEEDcDuq2/6SsWvUypXHF2hNYYJbzZSeLGULj6tON9m1PV0XgO0nDPC0FhOaJgtUZeFEA==" saltValue="XCAh5qEuwojYQaVsUvVYz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1" t="s">
        <v>169</v>
      </c>
      <c r="C3" s="71"/>
      <c r="D3" s="71"/>
      <c r="E3" s="1"/>
    </row>
    <row r="4" spans="1:5" ht="15" customHeight="1" x14ac:dyDescent="0.25">
      <c r="A4" s="1"/>
      <c r="B4" s="71"/>
      <c r="C4" s="71"/>
      <c r="D4" s="71"/>
      <c r="E4" s="1"/>
    </row>
    <row r="5" spans="1:5" x14ac:dyDescent="0.25">
      <c r="A5" s="1"/>
      <c r="B5" s="72" t="s">
        <v>21</v>
      </c>
      <c r="C5" s="72"/>
      <c r="D5" s="72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7" t="s">
        <v>13</v>
      </c>
      <c r="C7" s="48"/>
      <c r="D7" s="20"/>
      <c r="E7" s="1"/>
    </row>
    <row r="8" spans="1:5" ht="15" customHeight="1" x14ac:dyDescent="0.25">
      <c r="A8" s="1"/>
      <c r="B8" s="46" t="s">
        <v>170</v>
      </c>
      <c r="C8" s="7">
        <f>'Fane 2.3. Økonomisk ramme 2023'!C15</f>
        <v>17032765.524991598</v>
      </c>
      <c r="D8" s="8" t="s">
        <v>3</v>
      </c>
      <c r="E8" s="1"/>
    </row>
    <row r="9" spans="1:5" ht="15" customHeight="1" x14ac:dyDescent="0.25">
      <c r="A9" s="1"/>
      <c r="B9" s="46" t="s">
        <v>30</v>
      </c>
      <c r="C9" s="7">
        <f>-'Fane 11. Bortfald'!C30</f>
        <v>0</v>
      </c>
      <c r="D9" s="8" t="s">
        <v>3</v>
      </c>
      <c r="E9" s="1"/>
    </row>
    <row r="10" spans="1:5" ht="15" customHeight="1" x14ac:dyDescent="0.25">
      <c r="A10" s="1"/>
      <c r="B10" s="46" t="s">
        <v>29</v>
      </c>
      <c r="C10" s="7">
        <f>-'Fane 11. Bortfald'!E30</f>
        <v>0</v>
      </c>
      <c r="D10" s="8" t="s">
        <v>3</v>
      </c>
      <c r="E10" s="1"/>
    </row>
    <row r="11" spans="1:5" ht="15" customHeight="1" x14ac:dyDescent="0.25">
      <c r="A11" s="1"/>
      <c r="B11" s="39" t="s">
        <v>18</v>
      </c>
      <c r="C11" s="9">
        <f>SUM(C8:C10)*'Fane 12. Nøgletal'!C13</f>
        <v>207799.7394048975</v>
      </c>
      <c r="D11" s="8" t="s">
        <v>3</v>
      </c>
      <c r="E11" s="1"/>
    </row>
    <row r="12" spans="1:5" ht="15" customHeight="1" x14ac:dyDescent="0.25">
      <c r="A12" s="1"/>
      <c r="B12" s="39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39" t="s">
        <v>27</v>
      </c>
      <c r="C13" s="9">
        <f>-'Fane 4.1. Gen. krav - drift'!G55</f>
        <v>-173980.57809389732</v>
      </c>
      <c r="D13" s="8" t="s">
        <v>3</v>
      </c>
      <c r="E13" s="1"/>
    </row>
    <row r="14" spans="1:5" ht="15" customHeight="1" x14ac:dyDescent="0.25">
      <c r="A14" s="1"/>
      <c r="B14" s="39" t="s">
        <v>28</v>
      </c>
      <c r="C14" s="9">
        <f>-'Fane 4.2. Gen. krav - anlæg'!G54</f>
        <v>-234869.88681694111</v>
      </c>
      <c r="D14" s="8" t="s">
        <v>3</v>
      </c>
      <c r="E14" s="1"/>
    </row>
    <row r="15" spans="1:5" x14ac:dyDescent="0.25">
      <c r="A15" s="1"/>
      <c r="B15" s="40" t="s">
        <v>20</v>
      </c>
      <c r="C15" s="10">
        <f>SUM(C8:C14)</f>
        <v>16831714.799485657</v>
      </c>
      <c r="D15" s="11" t="s">
        <v>3</v>
      </c>
      <c r="E15" s="1"/>
    </row>
    <row r="16" spans="1:5" x14ac:dyDescent="0.25">
      <c r="A16" s="1"/>
      <c r="B16" s="47" t="s">
        <v>12</v>
      </c>
      <c r="C16" s="48"/>
      <c r="D16" s="20"/>
      <c r="E16" s="1"/>
    </row>
    <row r="17" spans="1:5" ht="15" customHeight="1" x14ac:dyDescent="0.25">
      <c r="A17" s="1"/>
      <c r="B17" s="49" t="s">
        <v>12</v>
      </c>
      <c r="C17" s="10">
        <f>'Fane 6. Ikke-påvirkelige omk.'!C14*(1+'Fane 12. Nøgletal'!C13)^3</f>
        <v>24397115.58192889</v>
      </c>
      <c r="D17" s="11" t="s">
        <v>3</v>
      </c>
      <c r="E17" s="1"/>
    </row>
    <row r="18" spans="1:5" ht="15" customHeight="1" x14ac:dyDescent="0.25">
      <c r="A18" s="1"/>
      <c r="B18" s="47" t="s">
        <v>103</v>
      </c>
      <c r="C18" s="48"/>
      <c r="D18" s="20"/>
      <c r="E18" s="1"/>
    </row>
    <row r="19" spans="1:5" ht="15" customHeight="1" x14ac:dyDescent="0.25">
      <c r="A19" s="1"/>
      <c r="B19" s="43" t="s">
        <v>99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43" t="s">
        <v>100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44" t="s">
        <v>104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4" t="s">
        <v>224</v>
      </c>
      <c r="C22" s="48"/>
      <c r="D22" s="20"/>
      <c r="E22" s="1"/>
    </row>
    <row r="23" spans="1:5" ht="15" customHeight="1" x14ac:dyDescent="0.25">
      <c r="A23" s="1"/>
      <c r="B23" s="35" t="s">
        <v>225</v>
      </c>
      <c r="C23" s="10">
        <f>'Fane 7. Kontrol af ØR2019'!E43</f>
        <v>-453936.83014739119</v>
      </c>
      <c r="D23" s="11" t="s">
        <v>3</v>
      </c>
      <c r="E23" s="1"/>
    </row>
    <row r="24" spans="1:5" x14ac:dyDescent="0.25">
      <c r="A24" s="1"/>
      <c r="B24" s="47" t="s">
        <v>171</v>
      </c>
      <c r="C24" s="12">
        <f>SUM(C15,C17,C21,C23)</f>
        <v>40774893.551267155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Loy6fivkXEEcdI3/rIjP8D62MTqqzttYnRclqxMxz4uwEpdtPqyGXooaiQrzhkVCEp6UVXTshXh8TKXBFXHWAg==" saltValue="bUgTviDR8i0s/EOXlSjkG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8.85546875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1" t="s">
        <v>172</v>
      </c>
      <c r="C3" s="81"/>
      <c r="D3" s="81"/>
      <c r="E3" s="81"/>
      <c r="F3" s="81"/>
      <c r="G3" s="1"/>
    </row>
    <row r="4" spans="1:7" ht="29.25" customHeight="1" x14ac:dyDescent="0.25">
      <c r="A4" s="1"/>
      <c r="B4" s="81"/>
      <c r="C4" s="81"/>
      <c r="D4" s="81"/>
      <c r="E4" s="81"/>
      <c r="F4" s="8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7" t="s">
        <v>173</v>
      </c>
      <c r="C8" s="48"/>
      <c r="D8" s="48"/>
      <c r="E8" s="48"/>
      <c r="F8" s="20"/>
      <c r="G8" s="1"/>
    </row>
    <row r="9" spans="1:7" x14ac:dyDescent="0.25">
      <c r="A9" s="1"/>
      <c r="B9" s="82" t="s">
        <v>23</v>
      </c>
      <c r="C9" s="83"/>
      <c r="D9" s="84"/>
      <c r="E9" s="7">
        <v>14670285.069665441</v>
      </c>
      <c r="F9" s="8" t="s">
        <v>3</v>
      </c>
      <c r="G9" s="1"/>
    </row>
    <row r="10" spans="1:7" ht="15" customHeight="1" x14ac:dyDescent="0.25">
      <c r="A10" s="1"/>
      <c r="B10" s="73" t="s">
        <v>45</v>
      </c>
      <c r="C10" s="74"/>
      <c r="D10" s="75"/>
      <c r="E10" s="7">
        <v>531598.16159999999</v>
      </c>
      <c r="F10" s="8" t="s">
        <v>3</v>
      </c>
      <c r="G10" s="1"/>
    </row>
    <row r="11" spans="1:7" ht="15" customHeight="1" x14ac:dyDescent="0.25">
      <c r="A11" s="1"/>
      <c r="B11" s="73" t="s">
        <v>46</v>
      </c>
      <c r="C11" s="74"/>
      <c r="D11" s="75"/>
      <c r="E11" s="9">
        <v>589592.68137000001</v>
      </c>
      <c r="F11" s="8" t="s">
        <v>3</v>
      </c>
      <c r="G11" s="1"/>
    </row>
    <row r="12" spans="1:7" x14ac:dyDescent="0.25">
      <c r="A12" s="1"/>
      <c r="B12" s="73" t="s">
        <v>30</v>
      </c>
      <c r="C12" s="74"/>
      <c r="D12" s="75"/>
      <c r="E12" s="9">
        <v>0</v>
      </c>
      <c r="F12" s="8" t="s">
        <v>3</v>
      </c>
      <c r="G12" s="1"/>
    </row>
    <row r="13" spans="1:7" x14ac:dyDescent="0.25">
      <c r="A13" s="1"/>
      <c r="B13" s="73" t="s">
        <v>29</v>
      </c>
      <c r="C13" s="74"/>
      <c r="D13" s="75"/>
      <c r="E13" s="9">
        <v>0</v>
      </c>
      <c r="F13" s="8" t="s">
        <v>3</v>
      </c>
      <c r="G13" s="1"/>
    </row>
    <row r="14" spans="1:7" x14ac:dyDescent="0.25">
      <c r="A14" s="1"/>
      <c r="B14" s="73" t="s">
        <v>162</v>
      </c>
      <c r="C14" s="74"/>
      <c r="D14" s="75"/>
      <c r="E14" s="9">
        <v>0</v>
      </c>
      <c r="F14" s="8" t="s">
        <v>3</v>
      </c>
      <c r="G14" s="1"/>
    </row>
    <row r="15" spans="1:7" x14ac:dyDescent="0.25">
      <c r="A15" s="1"/>
      <c r="B15" s="73" t="s">
        <v>163</v>
      </c>
      <c r="C15" s="74"/>
      <c r="D15" s="75"/>
      <c r="E15" s="9">
        <v>0</v>
      </c>
      <c r="F15" s="8" t="s">
        <v>3</v>
      </c>
      <c r="G15" s="1"/>
    </row>
    <row r="16" spans="1:7" x14ac:dyDescent="0.25">
      <c r="A16" s="1"/>
      <c r="B16" s="73" t="s">
        <v>18</v>
      </c>
      <c r="C16" s="74"/>
      <c r="D16" s="75"/>
      <c r="E16" s="9">
        <f>E9*'Fane 12. Nøgletal'!C11+SUM(E10:E15)*'Fane 12. Nøgletal'!C12</f>
        <v>270015.27728385496</v>
      </c>
      <c r="F16" s="8" t="s">
        <v>3</v>
      </c>
      <c r="G16" s="1"/>
    </row>
    <row r="17" spans="1:7" x14ac:dyDescent="0.25">
      <c r="A17" s="1"/>
      <c r="B17" s="73" t="s">
        <v>9</v>
      </c>
      <c r="C17" s="74"/>
      <c r="D17" s="75"/>
      <c r="E17" s="9">
        <f>-SUM(E9:E16)*'Fane 5. Individuelt eff. krav'!G10</f>
        <v>0</v>
      </c>
      <c r="F17" s="8" t="s">
        <v>3</v>
      </c>
      <c r="G17" s="1"/>
    </row>
    <row r="18" spans="1:7" x14ac:dyDescent="0.25">
      <c r="A18" s="1"/>
      <c r="B18" s="73" t="s">
        <v>27</v>
      </c>
      <c r="C18" s="74"/>
      <c r="D18" s="75"/>
      <c r="E18" s="9">
        <f>-'Fane 4.1. Gen. krav - drift'!G26</f>
        <v>-167306.17145167166</v>
      </c>
      <c r="F18" s="8" t="s">
        <v>3</v>
      </c>
      <c r="G18" s="1"/>
    </row>
    <row r="19" spans="1:7" x14ac:dyDescent="0.25">
      <c r="A19" s="1"/>
      <c r="B19" s="73" t="s">
        <v>28</v>
      </c>
      <c r="C19" s="74"/>
      <c r="D19" s="75"/>
      <c r="E19" s="9">
        <f>-'Fane 4.2. Gen. krav - anlæg'!G26</f>
        <v>-78793.901886594525</v>
      </c>
      <c r="F19" s="8" t="s">
        <v>3</v>
      </c>
      <c r="G19" s="1"/>
    </row>
    <row r="20" spans="1:7" x14ac:dyDescent="0.25">
      <c r="A20" s="1"/>
      <c r="B20" s="88" t="s">
        <v>20</v>
      </c>
      <c r="C20" s="89"/>
      <c r="D20" s="90"/>
      <c r="E20" s="10">
        <f>SUM(E9:E19)</f>
        <v>15815391.116581028</v>
      </c>
      <c r="F20" s="11" t="s">
        <v>3</v>
      </c>
      <c r="G20" s="1"/>
    </row>
    <row r="21" spans="1:7" x14ac:dyDescent="0.25">
      <c r="A21" s="1"/>
      <c r="B21" s="76" t="s">
        <v>12</v>
      </c>
      <c r="C21" s="77"/>
      <c r="D21" s="77"/>
      <c r="E21" s="48"/>
      <c r="F21" s="20"/>
      <c r="G21" s="1"/>
    </row>
    <row r="22" spans="1:7" x14ac:dyDescent="0.25">
      <c r="A22" s="1"/>
      <c r="B22" s="78" t="s">
        <v>12</v>
      </c>
      <c r="C22" s="79"/>
      <c r="D22" s="80"/>
      <c r="E22" s="10">
        <v>24285350.937749222</v>
      </c>
      <c r="F22" s="11" t="s">
        <v>3</v>
      </c>
      <c r="G22" s="1"/>
    </row>
    <row r="23" spans="1:7" x14ac:dyDescent="0.25">
      <c r="A23" s="1"/>
      <c r="B23" s="47" t="s">
        <v>103</v>
      </c>
      <c r="C23" s="48"/>
      <c r="D23" s="48"/>
      <c r="E23" s="48"/>
      <c r="F23" s="20"/>
      <c r="G23" s="1"/>
    </row>
    <row r="24" spans="1:7" ht="15" customHeight="1" x14ac:dyDescent="0.25">
      <c r="A24" s="1"/>
      <c r="B24" s="94" t="s">
        <v>99</v>
      </c>
      <c r="C24" s="95"/>
      <c r="D24" s="95"/>
      <c r="E24" s="38">
        <v>0</v>
      </c>
      <c r="F24" s="38" t="s">
        <v>3</v>
      </c>
      <c r="G24" s="1"/>
    </row>
    <row r="25" spans="1:7" ht="16.149999999999999" customHeight="1" x14ac:dyDescent="0.25">
      <c r="A25" s="1"/>
      <c r="B25" s="94" t="s">
        <v>100</v>
      </c>
      <c r="C25" s="95"/>
      <c r="D25" s="96"/>
      <c r="E25" s="9">
        <v>0</v>
      </c>
      <c r="F25" s="8" t="s">
        <v>3</v>
      </c>
      <c r="G25" s="1"/>
    </row>
    <row r="26" spans="1:7" x14ac:dyDescent="0.25">
      <c r="A26" s="1"/>
      <c r="B26" s="97" t="s">
        <v>104</v>
      </c>
      <c r="C26" s="98"/>
      <c r="D26" s="98"/>
      <c r="E26" s="10">
        <v>0</v>
      </c>
      <c r="F26" s="10" t="s">
        <v>3</v>
      </c>
      <c r="G26" s="1"/>
    </row>
    <row r="27" spans="1:7" x14ac:dyDescent="0.25">
      <c r="A27" s="1"/>
      <c r="B27" s="47" t="s">
        <v>241</v>
      </c>
      <c r="C27" s="48"/>
      <c r="D27" s="48"/>
      <c r="E27" s="48"/>
      <c r="F27" s="20"/>
      <c r="G27" s="1"/>
    </row>
    <row r="28" spans="1:7" ht="13.15" customHeight="1" x14ac:dyDescent="0.25">
      <c r="A28" s="1"/>
      <c r="B28" s="91" t="s">
        <v>242</v>
      </c>
      <c r="C28" s="92"/>
      <c r="D28" s="92"/>
      <c r="E28" s="10">
        <v>-1090845</v>
      </c>
      <c r="F28" s="10" t="s">
        <v>3</v>
      </c>
      <c r="G28" s="1"/>
    </row>
    <row r="29" spans="1:7" x14ac:dyDescent="0.25">
      <c r="A29" s="1"/>
      <c r="B29" s="47" t="s">
        <v>40</v>
      </c>
      <c r="C29" s="48"/>
      <c r="D29" s="48"/>
      <c r="E29" s="48"/>
      <c r="F29" s="20"/>
      <c r="G29" s="1"/>
    </row>
    <row r="30" spans="1:7" x14ac:dyDescent="0.25">
      <c r="A30" s="1"/>
      <c r="B30" s="97" t="s">
        <v>243</v>
      </c>
      <c r="C30" s="98"/>
      <c r="D30" s="98"/>
      <c r="E30" s="10">
        <v>31098.633173199138</v>
      </c>
      <c r="F30" s="10" t="s">
        <v>3</v>
      </c>
      <c r="G30" s="1"/>
    </row>
    <row r="31" spans="1:7" x14ac:dyDescent="0.25">
      <c r="A31" s="1"/>
      <c r="B31" s="47" t="s">
        <v>244</v>
      </c>
      <c r="C31" s="48"/>
      <c r="D31" s="48"/>
      <c r="E31" s="48"/>
      <c r="F31" s="20"/>
      <c r="G31" s="1"/>
    </row>
    <row r="32" spans="1:7" ht="14.25" customHeight="1" x14ac:dyDescent="0.25">
      <c r="A32" s="1"/>
      <c r="B32" s="91" t="s">
        <v>245</v>
      </c>
      <c r="C32" s="92"/>
      <c r="D32" s="93"/>
      <c r="E32" s="10">
        <v>0</v>
      </c>
      <c r="F32" s="11" t="s">
        <v>3</v>
      </c>
      <c r="G32" s="1"/>
    </row>
    <row r="33" spans="1:7" x14ac:dyDescent="0.25">
      <c r="A33" s="1"/>
      <c r="B33" s="47" t="s">
        <v>24</v>
      </c>
      <c r="C33" s="48"/>
      <c r="D33" s="48"/>
      <c r="E33" s="12">
        <f>SUM(E20,E22,E26,E28,E30,E32)</f>
        <v>39040995.68750345</v>
      </c>
      <c r="F33" s="13" t="s">
        <v>3</v>
      </c>
      <c r="G33" s="1"/>
    </row>
    <row r="34" spans="1:7" ht="28.15" customHeight="1" x14ac:dyDescent="0.25">
      <c r="A34" s="1"/>
      <c r="B34" s="85" t="s">
        <v>219</v>
      </c>
      <c r="C34" s="86"/>
      <c r="D34" s="86"/>
      <c r="E34" s="86"/>
      <c r="F34" s="87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28.15" customHeight="1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zIQtqdcyIVp+GYjH/hMGBdyMKsgItSk060VECjTegb/aT7cPPpJCSaM+TcRGXOCh7r82bhc2DINm4YRN5ERtqg==" saltValue="+MLZfO2lcLUGzh1iFA7g6A==" spinCount="100000" sheet="1" objects="1" scenarios="1"/>
  <mergeCells count="22">
    <mergeCell ref="B34:F34"/>
    <mergeCell ref="B16:D16"/>
    <mergeCell ref="B17:D17"/>
    <mergeCell ref="B18:D18"/>
    <mergeCell ref="B19:D19"/>
    <mergeCell ref="B20:D20"/>
    <mergeCell ref="B32:D32"/>
    <mergeCell ref="B25:D25"/>
    <mergeCell ref="B24:D24"/>
    <mergeCell ref="B26:D26"/>
    <mergeCell ref="B28:D28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81" t="s">
        <v>140</v>
      </c>
      <c r="C2" s="81"/>
      <c r="D2" s="81"/>
      <c r="E2" s="81"/>
      <c r="F2" s="81"/>
      <c r="G2" s="81"/>
      <c r="H2" s="81"/>
      <c r="I2" s="1"/>
    </row>
    <row r="3" spans="1:9" ht="15" customHeight="1" x14ac:dyDescent="0.25">
      <c r="A3" s="1"/>
      <c r="B3" s="81"/>
      <c r="C3" s="81"/>
      <c r="D3" s="81"/>
      <c r="E3" s="81"/>
      <c r="F3" s="81"/>
      <c r="G3" s="81"/>
      <c r="H3" s="81"/>
      <c r="I3" s="1"/>
    </row>
    <row r="4" spans="1:9" ht="15" customHeight="1" x14ac:dyDescent="0.25">
      <c r="A4" s="1"/>
      <c r="B4" s="81"/>
      <c r="C4" s="81"/>
      <c r="D4" s="81"/>
      <c r="E4" s="81"/>
      <c r="F4" s="81"/>
      <c r="G4" s="81"/>
      <c r="H4" s="81"/>
      <c r="I4" s="1"/>
    </row>
    <row r="5" spans="1:9" x14ac:dyDescent="0.25">
      <c r="A5" s="1"/>
      <c r="B5" s="99" t="s">
        <v>64</v>
      </c>
      <c r="C5" s="100"/>
      <c r="D5" s="100"/>
      <c r="E5" s="100"/>
      <c r="F5" s="100"/>
      <c r="G5" s="100"/>
      <c r="H5" s="101"/>
      <c r="I5" s="1"/>
    </row>
    <row r="6" spans="1:9" x14ac:dyDescent="0.25">
      <c r="A6" s="1"/>
      <c r="B6" s="102" t="s">
        <v>53</v>
      </c>
      <c r="C6" s="103"/>
      <c r="D6" s="103"/>
      <c r="E6" s="103"/>
      <c r="F6" s="104"/>
      <c r="G6" s="24">
        <v>8585973</v>
      </c>
      <c r="H6" s="14" t="s">
        <v>3</v>
      </c>
      <c r="I6" s="1"/>
    </row>
    <row r="7" spans="1:9" x14ac:dyDescent="0.25">
      <c r="A7" s="1"/>
      <c r="B7" s="102" t="s">
        <v>54</v>
      </c>
      <c r="C7" s="103"/>
      <c r="D7" s="103"/>
      <c r="E7" s="103"/>
      <c r="F7" s="104"/>
      <c r="G7" s="24">
        <f>G6*'Fane 12. Nøgletal'!C27</f>
        <v>171719.46</v>
      </c>
      <c r="H7" s="14" t="s">
        <v>3</v>
      </c>
      <c r="I7" s="1"/>
    </row>
    <row r="8" spans="1:9" x14ac:dyDescent="0.25">
      <c r="A8" s="1"/>
      <c r="B8" s="47"/>
      <c r="C8" s="48"/>
      <c r="D8" s="48"/>
      <c r="E8" s="48"/>
      <c r="F8" s="48"/>
      <c r="G8" s="48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9" t="s">
        <v>65</v>
      </c>
      <c r="C10" s="100"/>
      <c r="D10" s="100"/>
      <c r="E10" s="100"/>
      <c r="F10" s="100"/>
      <c r="G10" s="100"/>
      <c r="H10" s="101"/>
      <c r="I10" s="1"/>
    </row>
    <row r="11" spans="1:9" x14ac:dyDescent="0.25">
      <c r="A11" s="1"/>
      <c r="B11" s="102" t="s">
        <v>55</v>
      </c>
      <c r="C11" s="103"/>
      <c r="D11" s="103"/>
      <c r="E11" s="103"/>
      <c r="F11" s="104"/>
      <c r="G11" s="24">
        <f>(G6-G7)*(1+'Fane 12. Nøgletal'!C9)</f>
        <v>8521114.5599579979</v>
      </c>
      <c r="H11" s="14" t="s">
        <v>3</v>
      </c>
      <c r="I11" s="1"/>
    </row>
    <row r="12" spans="1:9" x14ac:dyDescent="0.25">
      <c r="A12" s="1"/>
      <c r="B12" s="108" t="s">
        <v>56</v>
      </c>
      <c r="C12" s="109"/>
      <c r="D12" s="109"/>
      <c r="E12" s="109"/>
      <c r="F12" s="110"/>
      <c r="G12" s="24">
        <v>0</v>
      </c>
      <c r="H12" s="14" t="s">
        <v>3</v>
      </c>
      <c r="I12" s="1"/>
    </row>
    <row r="13" spans="1:9" x14ac:dyDescent="0.25">
      <c r="A13" s="1"/>
      <c r="B13" s="102" t="s">
        <v>57</v>
      </c>
      <c r="C13" s="103"/>
      <c r="D13" s="103"/>
      <c r="E13" s="103"/>
      <c r="F13" s="104"/>
      <c r="G13" s="24">
        <f>(G11+G12)*'Fane 12. Nøgletal'!C27</f>
        <v>170422.29119915995</v>
      </c>
      <c r="H13" s="14" t="s">
        <v>3</v>
      </c>
      <c r="I13" s="1"/>
    </row>
    <row r="14" spans="1:9" x14ac:dyDescent="0.25">
      <c r="A14" s="1"/>
      <c r="B14" s="47"/>
      <c r="C14" s="48"/>
      <c r="D14" s="48"/>
      <c r="E14" s="48"/>
      <c r="F14" s="48"/>
      <c r="G14" s="48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9" t="s">
        <v>66</v>
      </c>
      <c r="C16" s="100"/>
      <c r="D16" s="100"/>
      <c r="E16" s="100"/>
      <c r="F16" s="100"/>
      <c r="G16" s="100"/>
      <c r="H16" s="101"/>
      <c r="I16" s="1"/>
    </row>
    <row r="17" spans="1:9" x14ac:dyDescent="0.25">
      <c r="A17" s="1"/>
      <c r="B17" s="102" t="s">
        <v>58</v>
      </c>
      <c r="C17" s="103"/>
      <c r="D17" s="103"/>
      <c r="E17" s="103"/>
      <c r="F17" s="104"/>
      <c r="G17" s="24">
        <f>(G11+G12-G13)*(1+'Fane 12. Nøgletal'!C11)</f>
        <v>8491818.9681008626</v>
      </c>
      <c r="H17" s="14" t="s">
        <v>3</v>
      </c>
      <c r="I17" s="1"/>
    </row>
    <row r="18" spans="1:9" x14ac:dyDescent="0.25">
      <c r="A18" s="1"/>
      <c r="B18" s="102" t="s">
        <v>158</v>
      </c>
      <c r="C18" s="103"/>
      <c r="D18" s="103"/>
      <c r="E18" s="103"/>
      <c r="F18" s="104"/>
      <c r="G18" s="24">
        <v>-641591.96044849104</v>
      </c>
      <c r="H18" s="14" t="s">
        <v>3</v>
      </c>
      <c r="I18" s="1"/>
    </row>
    <row r="19" spans="1:9" x14ac:dyDescent="0.25">
      <c r="A19" s="1"/>
      <c r="B19" s="108" t="s">
        <v>59</v>
      </c>
      <c r="C19" s="109"/>
      <c r="D19" s="109"/>
      <c r="E19" s="109"/>
      <c r="F19" s="110"/>
      <c r="G19" s="24">
        <v>0</v>
      </c>
      <c r="H19" s="14" t="s">
        <v>3</v>
      </c>
      <c r="I19" s="1"/>
    </row>
    <row r="20" spans="1:9" x14ac:dyDescent="0.25">
      <c r="A20" s="1"/>
      <c r="B20" s="102" t="s">
        <v>60</v>
      </c>
      <c r="C20" s="103"/>
      <c r="D20" s="103"/>
      <c r="E20" s="103"/>
      <c r="F20" s="104"/>
      <c r="G20" s="24">
        <f>SUM(G17:G19)*'Fane 12. Nøgletal'!C27</f>
        <v>157004.54015304742</v>
      </c>
      <c r="H20" s="14" t="s">
        <v>3</v>
      </c>
      <c r="I20" s="1"/>
    </row>
    <row r="21" spans="1:9" x14ac:dyDescent="0.25">
      <c r="A21" s="1"/>
      <c r="B21" s="47"/>
      <c r="C21" s="48"/>
      <c r="D21" s="48"/>
      <c r="E21" s="48"/>
      <c r="F21" s="48"/>
      <c r="G21" s="48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9" t="s">
        <v>67</v>
      </c>
      <c r="C23" s="100"/>
      <c r="D23" s="100"/>
      <c r="E23" s="100"/>
      <c r="F23" s="100"/>
      <c r="G23" s="100"/>
      <c r="H23" s="101"/>
      <c r="I23" s="1"/>
    </row>
    <row r="24" spans="1:9" x14ac:dyDescent="0.25">
      <c r="A24" s="1"/>
      <c r="B24" s="102" t="s">
        <v>61</v>
      </c>
      <c r="C24" s="103"/>
      <c r="D24" s="103"/>
      <c r="E24" s="103"/>
      <c r="F24" s="104"/>
      <c r="G24" s="24">
        <f>(G17+G18+G19-G20)*(1+'Fane 12. Nøgletal'!C11)</f>
        <v>7823237.9272000622</v>
      </c>
      <c r="H24" s="14" t="s">
        <v>3</v>
      </c>
      <c r="I24" s="1"/>
    </row>
    <row r="25" spans="1:9" x14ac:dyDescent="0.25">
      <c r="A25" s="1"/>
      <c r="B25" s="108" t="s">
        <v>62</v>
      </c>
      <c r="C25" s="109"/>
      <c r="D25" s="109"/>
      <c r="E25" s="109"/>
      <c r="F25" s="110"/>
      <c r="G25" s="24">
        <v>542070.64538352005</v>
      </c>
      <c r="H25" s="14" t="s">
        <v>3</v>
      </c>
      <c r="I25" s="1"/>
    </row>
    <row r="26" spans="1:9" x14ac:dyDescent="0.25">
      <c r="A26" s="1"/>
      <c r="B26" s="102" t="s">
        <v>63</v>
      </c>
      <c r="C26" s="103"/>
      <c r="D26" s="103"/>
      <c r="E26" s="103"/>
      <c r="F26" s="104"/>
      <c r="G26" s="24">
        <f>(G24+G25)*'Fane 12. Nøgletal'!C27</f>
        <v>167306.17145167166</v>
      </c>
      <c r="H26" s="14" t="s">
        <v>3</v>
      </c>
      <c r="I26" s="1"/>
    </row>
    <row r="27" spans="1:9" x14ac:dyDescent="0.25">
      <c r="A27" s="1"/>
      <c r="B27" s="47"/>
      <c r="C27" s="48"/>
      <c r="D27" s="48"/>
      <c r="E27" s="48"/>
      <c r="F27" s="48"/>
      <c r="G27" s="48"/>
      <c r="H27" s="20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9" t="s">
        <v>70</v>
      </c>
      <c r="C29" s="100"/>
      <c r="D29" s="100"/>
      <c r="E29" s="100"/>
      <c r="F29" s="100"/>
      <c r="G29" s="100"/>
      <c r="H29" s="101"/>
      <c r="I29" s="1"/>
    </row>
    <row r="30" spans="1:9" x14ac:dyDescent="0.25">
      <c r="A30" s="1"/>
      <c r="B30" s="102" t="s">
        <v>71</v>
      </c>
      <c r="C30" s="103"/>
      <c r="D30" s="103"/>
      <c r="E30" s="103"/>
      <c r="F30" s="104"/>
      <c r="G30" s="24">
        <f>G24*(1-'Fane 12. Nøgletal'!C27)*(1+'Fane 12. Nøgletal'!C11)+G25*(1-'Fane 12. Nøgletal'!C27)*(1+'Fane 12. Nøgletal'!C12)</f>
        <v>8338036.0835619718</v>
      </c>
      <c r="H30" s="14" t="s">
        <v>3</v>
      </c>
      <c r="I30" s="1"/>
    </row>
    <row r="31" spans="1:9" x14ac:dyDescent="0.25">
      <c r="A31" s="1"/>
      <c r="B31" s="105" t="s">
        <v>154</v>
      </c>
      <c r="C31" s="106"/>
      <c r="D31" s="106"/>
      <c r="E31" s="106"/>
      <c r="F31" s="107"/>
      <c r="G31" s="24">
        <f>G25*(1-'Fane 12. Nøgletal'!C27)*(1+'Fane 12. Nøgletal'!C12)</f>
        <v>541694.44835562399</v>
      </c>
      <c r="H31" s="14" t="s">
        <v>3</v>
      </c>
      <c r="I31" s="1"/>
    </row>
    <row r="32" spans="1:9" x14ac:dyDescent="0.25">
      <c r="A32" s="1"/>
      <c r="B32" s="102" t="s">
        <v>199</v>
      </c>
      <c r="C32" s="103"/>
      <c r="D32" s="103"/>
      <c r="E32" s="103"/>
      <c r="F32" s="104"/>
      <c r="G32" s="24">
        <f>SUM('Fane 2.1. Økonomisk ramme 2021'!C12,'Fane 2.1. Økonomisk ramme 2021'!C14,'Fane 2.1. Økonomisk ramme 2021'!C16)*(1+'Fane 12. Nøgletal'!C13)</f>
        <v>534125.99765952001</v>
      </c>
      <c r="H32" s="14" t="s">
        <v>3</v>
      </c>
      <c r="I32" s="1"/>
    </row>
    <row r="33" spans="1:9" x14ac:dyDescent="0.25">
      <c r="A33" s="1"/>
      <c r="B33" s="102" t="s">
        <v>72</v>
      </c>
      <c r="C33" s="103"/>
      <c r="D33" s="103"/>
      <c r="E33" s="103"/>
      <c r="F33" s="104"/>
      <c r="G33" s="24">
        <f>(G30+G32)*'Fane 12. Nøgletal'!C27</f>
        <v>177443.24162442982</v>
      </c>
      <c r="H33" s="14" t="s">
        <v>3</v>
      </c>
      <c r="I33" s="1"/>
    </row>
    <row r="34" spans="1:9" x14ac:dyDescent="0.25">
      <c r="A34" s="1"/>
      <c r="B34" s="47"/>
      <c r="C34" s="48"/>
      <c r="D34" s="48"/>
      <c r="E34" s="48"/>
      <c r="F34" s="48"/>
      <c r="G34" s="48"/>
      <c r="H34" s="20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99" t="s">
        <v>139</v>
      </c>
      <c r="C36" s="100"/>
      <c r="D36" s="100"/>
      <c r="E36" s="100"/>
      <c r="F36" s="100"/>
      <c r="G36" s="100"/>
      <c r="H36" s="101"/>
      <c r="I36" s="1"/>
    </row>
    <row r="37" spans="1:9" x14ac:dyDescent="0.25">
      <c r="A37" s="1"/>
      <c r="B37" s="102" t="s">
        <v>94</v>
      </c>
      <c r="C37" s="103"/>
      <c r="D37" s="103"/>
      <c r="E37" s="103"/>
      <c r="F37" s="104"/>
      <c r="G37" s="24">
        <f>(G30-G31)*(1-'Fane 12. Nøgletal'!C27)*(1+'Fane 12. Nøgletal'!C11)+G31*(1-'Fane 12. Nøgletal'!C27)*(1+'Fane 12. Nøgletal'!C12)+G32*(1-'Fane 12. Nøgletal'!C27)*(1+'Fane 12. Nøgletal'!C13)</f>
        <v>8840685.813207319</v>
      </c>
      <c r="H37" s="14" t="s">
        <v>3</v>
      </c>
      <c r="I37" s="1"/>
    </row>
    <row r="38" spans="1:9" x14ac:dyDescent="0.25">
      <c r="A38" s="1"/>
      <c r="B38" s="105" t="s">
        <v>154</v>
      </c>
      <c r="C38" s="106"/>
      <c r="D38" s="106"/>
      <c r="E38" s="106"/>
      <c r="F38" s="107"/>
      <c r="G38" s="24">
        <f>G31*(1-'Fane 12. Nøgletal'!C27)*(1+'Fane 12. Nøgletal'!C12)</f>
        <v>541318.51240846515</v>
      </c>
      <c r="H38" s="14" t="s">
        <v>3</v>
      </c>
      <c r="I38" s="1"/>
    </row>
    <row r="39" spans="1:9" x14ac:dyDescent="0.25">
      <c r="A39" s="1"/>
      <c r="B39" s="105" t="s">
        <v>205</v>
      </c>
      <c r="C39" s="103"/>
      <c r="D39" s="103"/>
      <c r="E39" s="103"/>
      <c r="F39" s="104"/>
      <c r="G39" s="24">
        <f>G32*(1-'Fane 12. Nøgletal'!C27)*(1+'Fane 12. Nøgletal'!C13)</f>
        <v>529829.48813434679</v>
      </c>
      <c r="H39" s="14" t="s">
        <v>3</v>
      </c>
      <c r="I39" s="1"/>
    </row>
    <row r="40" spans="1:9" x14ac:dyDescent="0.25">
      <c r="A40" s="1"/>
      <c r="B40" s="102" t="s">
        <v>106</v>
      </c>
      <c r="C40" s="103"/>
      <c r="D40" s="103"/>
      <c r="E40" s="103"/>
      <c r="F40" s="104"/>
      <c r="G40" s="24">
        <f>-'Fane 11. Bortfald'!C18*(1+'Fane 12. Nøgletal'!C13)</f>
        <v>0</v>
      </c>
      <c r="H40" s="14" t="s">
        <v>3</v>
      </c>
      <c r="I40" s="1"/>
    </row>
    <row r="41" spans="1:9" x14ac:dyDescent="0.25">
      <c r="A41" s="1"/>
      <c r="B41" s="102" t="s">
        <v>155</v>
      </c>
      <c r="C41" s="103"/>
      <c r="D41" s="103"/>
      <c r="E41" s="103"/>
      <c r="F41" s="104"/>
      <c r="G41" s="24">
        <f>(G37+G40)*'Fane 12. Nøgletal'!C27</f>
        <v>176813.71626414638</v>
      </c>
      <c r="H41" s="14" t="s">
        <v>3</v>
      </c>
      <c r="I41" s="1"/>
    </row>
    <row r="42" spans="1:9" x14ac:dyDescent="0.25">
      <c r="A42" s="1"/>
      <c r="B42" s="47"/>
      <c r="C42" s="48"/>
      <c r="D42" s="48"/>
      <c r="E42" s="48"/>
      <c r="F42" s="48"/>
      <c r="G42" s="48"/>
      <c r="H42" s="20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99" t="s">
        <v>95</v>
      </c>
      <c r="C44" s="100"/>
      <c r="D44" s="100"/>
      <c r="E44" s="100"/>
      <c r="F44" s="100"/>
      <c r="G44" s="100"/>
      <c r="H44" s="101"/>
      <c r="I44" s="1"/>
    </row>
    <row r="45" spans="1:9" x14ac:dyDescent="0.25">
      <c r="A45" s="1"/>
      <c r="B45" s="102" t="s">
        <v>93</v>
      </c>
      <c r="C45" s="103"/>
      <c r="D45" s="103"/>
      <c r="E45" s="103"/>
      <c r="F45" s="104"/>
      <c r="G45" s="24">
        <f>(G37+G40-G41)*(1+'Fane 12. Nøgletal'!C13)</f>
        <v>8769571.3365258798</v>
      </c>
      <c r="H45" s="14" t="s">
        <v>3</v>
      </c>
      <c r="I45" s="1"/>
    </row>
    <row r="46" spans="1:9" x14ac:dyDescent="0.25">
      <c r="A46" s="1"/>
      <c r="B46" s="102" t="s">
        <v>107</v>
      </c>
      <c r="C46" s="103"/>
      <c r="D46" s="103"/>
      <c r="E46" s="103"/>
      <c r="F46" s="104"/>
      <c r="G46" s="24">
        <f>-'Fane 11. Bortfald'!C24*(1+'Fane 12. Nøgletal'!C13)</f>
        <v>0</v>
      </c>
      <c r="H46" s="14" t="s">
        <v>3</v>
      </c>
      <c r="I46" s="1"/>
    </row>
    <row r="47" spans="1:9" x14ac:dyDescent="0.25">
      <c r="A47" s="1"/>
      <c r="B47" s="102" t="s">
        <v>73</v>
      </c>
      <c r="C47" s="103"/>
      <c r="D47" s="103"/>
      <c r="E47" s="103"/>
      <c r="F47" s="104"/>
      <c r="G47" s="24">
        <f>(G45+G46)*'Fane 12. Nøgletal'!C27</f>
        <v>175391.42673051759</v>
      </c>
      <c r="H47" s="14" t="s">
        <v>3</v>
      </c>
      <c r="I47" s="1"/>
    </row>
    <row r="48" spans="1:9" x14ac:dyDescent="0.25">
      <c r="A48" s="1"/>
      <c r="B48" s="47"/>
      <c r="C48" s="48"/>
      <c r="D48" s="48"/>
      <c r="E48" s="48"/>
      <c r="F48" s="48"/>
      <c r="G48" s="48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9" t="s">
        <v>200</v>
      </c>
      <c r="C52" s="100"/>
      <c r="D52" s="100"/>
      <c r="E52" s="100"/>
      <c r="F52" s="100"/>
      <c r="G52" s="100"/>
      <c r="H52" s="101"/>
      <c r="I52" s="1"/>
    </row>
    <row r="53" spans="1:9" x14ac:dyDescent="0.25">
      <c r="A53" s="1"/>
      <c r="B53" s="102" t="s">
        <v>201</v>
      </c>
      <c r="C53" s="103"/>
      <c r="D53" s="103"/>
      <c r="E53" s="103"/>
      <c r="F53" s="104"/>
      <c r="G53" s="24">
        <f>(G45+G46-G47)*(1+'Fane 12. Nøgletal'!C13)</f>
        <v>8699028.9046948664</v>
      </c>
      <c r="H53" s="14" t="s">
        <v>3</v>
      </c>
      <c r="I53" s="1"/>
    </row>
    <row r="54" spans="1:9" x14ac:dyDescent="0.25">
      <c r="A54" s="1"/>
      <c r="B54" s="102" t="s">
        <v>202</v>
      </c>
      <c r="C54" s="103"/>
      <c r="D54" s="103"/>
      <c r="E54" s="103"/>
      <c r="F54" s="104"/>
      <c r="G54" s="24">
        <f>-'Fane 11. Bortfald'!C30*(1+'Fane 12. Nøgletal'!C13)</f>
        <v>0</v>
      </c>
      <c r="H54" s="14" t="s">
        <v>3</v>
      </c>
      <c r="I54" s="1"/>
    </row>
    <row r="55" spans="1:9" x14ac:dyDescent="0.25">
      <c r="A55" s="1"/>
      <c r="B55" s="102" t="s">
        <v>203</v>
      </c>
      <c r="C55" s="103"/>
      <c r="D55" s="103"/>
      <c r="E55" s="103"/>
      <c r="F55" s="104"/>
      <c r="G55" s="24">
        <f>(G53+G54)*'Fane 12. Nøgletal'!C27</f>
        <v>173980.57809389732</v>
      </c>
      <c r="H55" s="14" t="s">
        <v>3</v>
      </c>
      <c r="I55" s="1"/>
    </row>
    <row r="56" spans="1:9" x14ac:dyDescent="0.25">
      <c r="A56" s="1"/>
      <c r="B56" s="47"/>
      <c r="C56" s="48"/>
      <c r="D56" s="48"/>
      <c r="E56" s="48"/>
      <c r="F56" s="48"/>
      <c r="G56" s="48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</sheetData>
  <sheetProtection algorithmName="SHA-512" hashValue="qtgm3VE7CxferjcloSdS//VI+quDaagua0hIAv5/yCr9PxRp/euC6d0SPXTHU0DihSo/j9wMYU9HVWoDCW4fLQ==" saltValue="F8C3Am6KS1pw5/dGh10GgQ==" spinCount="100000" sheet="1" objects="1" scenarios="1"/>
  <mergeCells count="36">
    <mergeCell ref="B2:H4"/>
    <mergeCell ref="B5:H5"/>
    <mergeCell ref="B6:F6"/>
    <mergeCell ref="B7:F7"/>
    <mergeCell ref="B11:F11"/>
    <mergeCell ref="B10:H10"/>
    <mergeCell ref="B16:H16"/>
    <mergeCell ref="B23:H23"/>
    <mergeCell ref="B12:F12"/>
    <mergeCell ref="B13:F13"/>
    <mergeCell ref="B17:F17"/>
    <mergeCell ref="B19:F19"/>
    <mergeCell ref="B18:F18"/>
    <mergeCell ref="B20:F20"/>
    <mergeCell ref="B24:F24"/>
    <mergeCell ref="B25:F25"/>
    <mergeCell ref="B26:F26"/>
    <mergeCell ref="B37:F37"/>
    <mergeCell ref="B32:F32"/>
    <mergeCell ref="B33:F33"/>
    <mergeCell ref="B31:F31"/>
    <mergeCell ref="B52:H52"/>
    <mergeCell ref="B53:F53"/>
    <mergeCell ref="B54:F54"/>
    <mergeCell ref="B55:F55"/>
    <mergeCell ref="B29:H29"/>
    <mergeCell ref="B30:F30"/>
    <mergeCell ref="B36:H36"/>
    <mergeCell ref="B41:F41"/>
    <mergeCell ref="B38:F38"/>
    <mergeCell ref="B39:F39"/>
    <mergeCell ref="B44:H44"/>
    <mergeCell ref="B45:F45"/>
    <mergeCell ref="B47:F47"/>
    <mergeCell ref="B40:F40"/>
    <mergeCell ref="B46:F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36"/>
      <c r="C1" s="36"/>
      <c r="D1" s="36"/>
      <c r="E1" s="36"/>
      <c r="F1" s="36"/>
      <c r="G1" s="36"/>
      <c r="H1" s="36"/>
      <c r="I1" s="1"/>
    </row>
    <row r="2" spans="1:9" ht="21" customHeight="1" x14ac:dyDescent="0.25">
      <c r="A2" s="1"/>
      <c r="B2" s="81" t="s">
        <v>141</v>
      </c>
      <c r="C2" s="81"/>
      <c r="D2" s="81"/>
      <c r="E2" s="81"/>
      <c r="F2" s="81"/>
      <c r="G2" s="81"/>
      <c r="H2" s="81"/>
      <c r="I2" s="1"/>
    </row>
    <row r="3" spans="1:9" ht="18" customHeight="1" x14ac:dyDescent="0.25">
      <c r="A3" s="1"/>
      <c r="B3" s="81"/>
      <c r="C3" s="81"/>
      <c r="D3" s="81"/>
      <c r="E3" s="81"/>
      <c r="F3" s="81"/>
      <c r="G3" s="81"/>
      <c r="H3" s="81"/>
      <c r="I3" s="1"/>
    </row>
    <row r="4" spans="1:9" ht="14.25" customHeight="1" x14ac:dyDescent="0.25">
      <c r="A4" s="1"/>
      <c r="B4" s="37"/>
      <c r="C4" s="37"/>
      <c r="D4" s="37"/>
      <c r="E4" s="37"/>
      <c r="F4" s="37"/>
      <c r="G4" s="37"/>
      <c r="H4" s="37"/>
      <c r="I4" s="1"/>
    </row>
    <row r="5" spans="1:9" x14ac:dyDescent="0.25">
      <c r="A5" s="1"/>
      <c r="B5" s="99" t="s">
        <v>68</v>
      </c>
      <c r="C5" s="100"/>
      <c r="D5" s="100"/>
      <c r="E5" s="100"/>
      <c r="F5" s="100"/>
      <c r="G5" s="100"/>
      <c r="H5" s="101"/>
      <c r="I5" s="1"/>
    </row>
    <row r="6" spans="1:9" x14ac:dyDescent="0.25">
      <c r="A6" s="1"/>
      <c r="B6" s="102" t="s">
        <v>74</v>
      </c>
      <c r="C6" s="103"/>
      <c r="D6" s="103"/>
      <c r="E6" s="103"/>
      <c r="F6" s="104"/>
      <c r="G6" s="24">
        <v>6879359</v>
      </c>
      <c r="H6" s="14" t="s">
        <v>3</v>
      </c>
      <c r="I6" s="1"/>
    </row>
    <row r="7" spans="1:9" x14ac:dyDescent="0.25">
      <c r="A7" s="1"/>
      <c r="B7" s="102" t="s">
        <v>69</v>
      </c>
      <c r="C7" s="103"/>
      <c r="D7" s="103"/>
      <c r="E7" s="103"/>
      <c r="F7" s="104"/>
      <c r="G7" s="24">
        <f>G6*'Fane 12. Nøgletal'!C18</f>
        <v>62602.166900000004</v>
      </c>
      <c r="H7" s="14" t="s">
        <v>3</v>
      </c>
      <c r="I7" s="1"/>
    </row>
    <row r="8" spans="1:9" x14ac:dyDescent="0.25">
      <c r="A8" s="1"/>
      <c r="B8" s="47"/>
      <c r="C8" s="48"/>
      <c r="D8" s="48"/>
      <c r="E8" s="48"/>
      <c r="F8" s="48"/>
      <c r="G8" s="48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9" t="s">
        <v>75</v>
      </c>
      <c r="C10" s="100"/>
      <c r="D10" s="100"/>
      <c r="E10" s="100"/>
      <c r="F10" s="100"/>
      <c r="G10" s="100"/>
      <c r="H10" s="101"/>
      <c r="I10" s="1"/>
    </row>
    <row r="11" spans="1:9" x14ac:dyDescent="0.25">
      <c r="A11" s="1"/>
      <c r="B11" s="102" t="s">
        <v>76</v>
      </c>
      <c r="C11" s="103"/>
      <c r="D11" s="103"/>
      <c r="E11" s="103"/>
      <c r="F11" s="104"/>
      <c r="G11" s="24">
        <f>(G6-G7)*(1+'Fane 12. Nøgletal'!C9)</f>
        <v>6903329.6448803702</v>
      </c>
      <c r="H11" s="14" t="s">
        <v>3</v>
      </c>
      <c r="I11" s="1"/>
    </row>
    <row r="12" spans="1:9" x14ac:dyDescent="0.25">
      <c r="A12" s="1"/>
      <c r="B12" s="108" t="s">
        <v>77</v>
      </c>
      <c r="C12" s="109"/>
      <c r="D12" s="109"/>
      <c r="E12" s="109"/>
      <c r="F12" s="110"/>
      <c r="G12" s="24">
        <v>0</v>
      </c>
      <c r="H12" s="14" t="s">
        <v>3</v>
      </c>
      <c r="I12" s="1"/>
    </row>
    <row r="13" spans="1:9" x14ac:dyDescent="0.25">
      <c r="A13" s="1"/>
      <c r="B13" s="102" t="s">
        <v>78</v>
      </c>
      <c r="C13" s="103"/>
      <c r="D13" s="103"/>
      <c r="E13" s="103"/>
      <c r="F13" s="104"/>
      <c r="G13" s="24">
        <f>G11*'Fane 12. Nøgletal'!C18+G12*'Fane 12. Nøgletal'!C19</f>
        <v>62820.299768411372</v>
      </c>
      <c r="H13" s="14" t="s">
        <v>3</v>
      </c>
      <c r="I13" s="1"/>
    </row>
    <row r="14" spans="1:9" x14ac:dyDescent="0.25">
      <c r="A14" s="1"/>
      <c r="B14" s="47"/>
      <c r="C14" s="48"/>
      <c r="D14" s="48"/>
      <c r="E14" s="48"/>
      <c r="F14" s="48"/>
      <c r="G14" s="48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9" t="s">
        <v>79</v>
      </c>
      <c r="C16" s="100"/>
      <c r="D16" s="100"/>
      <c r="E16" s="100"/>
      <c r="F16" s="100"/>
      <c r="G16" s="100"/>
      <c r="H16" s="101"/>
      <c r="I16" s="1"/>
    </row>
    <row r="17" spans="1:9" x14ac:dyDescent="0.25">
      <c r="A17" s="1"/>
      <c r="B17" s="102" t="s">
        <v>80</v>
      </c>
      <c r="C17" s="103"/>
      <c r="D17" s="103"/>
      <c r="E17" s="103"/>
      <c r="F17" s="104"/>
      <c r="G17" s="24">
        <f>(G11+G12-G13)*(1+'Fane 12. Nøgletal'!C11)</f>
        <v>6956113.9530443503</v>
      </c>
      <c r="H17" s="14" t="s">
        <v>3</v>
      </c>
      <c r="I17" s="1"/>
    </row>
    <row r="18" spans="1:9" x14ac:dyDescent="0.25">
      <c r="A18" s="1"/>
      <c r="B18" s="102" t="s">
        <v>159</v>
      </c>
      <c r="C18" s="103"/>
      <c r="D18" s="103"/>
      <c r="E18" s="103"/>
      <c r="F18" s="104"/>
      <c r="G18" s="24">
        <v>59189.626366055796</v>
      </c>
      <c r="H18" s="14" t="s">
        <v>3</v>
      </c>
      <c r="I18" s="1"/>
    </row>
    <row r="19" spans="1:9" x14ac:dyDescent="0.25">
      <c r="A19" s="1"/>
      <c r="B19" s="108" t="s">
        <v>81</v>
      </c>
      <c r="C19" s="109"/>
      <c r="D19" s="109"/>
      <c r="E19" s="109"/>
      <c r="F19" s="110"/>
      <c r="G19" s="24">
        <v>22230.772443779995</v>
      </c>
      <c r="H19" s="14" t="s">
        <v>3</v>
      </c>
      <c r="I19" s="1"/>
    </row>
    <row r="20" spans="1:9" x14ac:dyDescent="0.25">
      <c r="A20" s="1"/>
      <c r="B20" s="102" t="s">
        <v>82</v>
      </c>
      <c r="C20" s="103"/>
      <c r="D20" s="103"/>
      <c r="E20" s="103"/>
      <c r="F20" s="104"/>
      <c r="G20" s="24">
        <f>SUM(G17:G19)*'Fane 12. Nøgletal'!C20</f>
        <v>61226.548861131407</v>
      </c>
      <c r="H20" s="14" t="s">
        <v>3</v>
      </c>
      <c r="I20" s="1"/>
    </row>
    <row r="21" spans="1:9" x14ac:dyDescent="0.25">
      <c r="A21" s="1"/>
      <c r="B21" s="47"/>
      <c r="C21" s="48"/>
      <c r="D21" s="48"/>
      <c r="E21" s="48"/>
      <c r="F21" s="48"/>
      <c r="G21" s="48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9" t="s">
        <v>83</v>
      </c>
      <c r="C23" s="100"/>
      <c r="D23" s="100"/>
      <c r="E23" s="100"/>
      <c r="F23" s="100"/>
      <c r="G23" s="100"/>
      <c r="H23" s="101"/>
      <c r="I23" s="1"/>
    </row>
    <row r="24" spans="1:9" x14ac:dyDescent="0.25">
      <c r="A24" s="1"/>
      <c r="B24" s="102" t="s">
        <v>84</v>
      </c>
      <c r="C24" s="103"/>
      <c r="D24" s="103"/>
      <c r="E24" s="103"/>
      <c r="F24" s="104"/>
      <c r="G24" s="24">
        <f>(G17+G18+G19-G20)*(1+'Fane 12. Nøgletal'!C11)</f>
        <v>7094207.4048636369</v>
      </c>
      <c r="H24" s="14" t="s">
        <v>3</v>
      </c>
      <c r="I24" s="1"/>
    </row>
    <row r="25" spans="1:9" x14ac:dyDescent="0.25">
      <c r="A25" s="1"/>
      <c r="B25" s="108" t="s">
        <v>85</v>
      </c>
      <c r="C25" s="109"/>
      <c r="D25" s="109"/>
      <c r="E25" s="109"/>
      <c r="F25" s="110"/>
      <c r="G25" s="24">
        <v>601207.65719298902</v>
      </c>
      <c r="H25" s="14" t="s">
        <v>3</v>
      </c>
      <c r="I25" s="1"/>
    </row>
    <row r="26" spans="1:9" x14ac:dyDescent="0.25">
      <c r="A26" s="1"/>
      <c r="B26" s="102" t="s">
        <v>86</v>
      </c>
      <c r="C26" s="103"/>
      <c r="D26" s="103"/>
      <c r="E26" s="103"/>
      <c r="F26" s="104"/>
      <c r="G26" s="24">
        <f>G24*'Fane 12. Nøgletal'!C20+G25*'Fane 12. Nøgletal'!C21</f>
        <v>78793.901886594525</v>
      </c>
      <c r="H26" s="14" t="s">
        <v>3</v>
      </c>
      <c r="I26" s="1"/>
    </row>
    <row r="27" spans="1:9" x14ac:dyDescent="0.25">
      <c r="A27" s="1"/>
      <c r="B27" s="47"/>
      <c r="C27" s="48"/>
      <c r="D27" s="48"/>
      <c r="E27" s="48"/>
      <c r="F27" s="48"/>
      <c r="G27" s="48"/>
      <c r="H27" s="20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9" t="s">
        <v>87</v>
      </c>
      <c r="C29" s="100"/>
      <c r="D29" s="100"/>
      <c r="E29" s="100"/>
      <c r="F29" s="100"/>
      <c r="G29" s="100"/>
      <c r="H29" s="101"/>
      <c r="I29" s="1"/>
    </row>
    <row r="30" spans="1:9" x14ac:dyDescent="0.25">
      <c r="A30" s="1"/>
      <c r="B30" s="102" t="s">
        <v>88</v>
      </c>
      <c r="C30" s="103"/>
      <c r="D30" s="103"/>
      <c r="E30" s="103"/>
      <c r="F30" s="104"/>
      <c r="G30" s="24">
        <f>G24*(1-'Fane 12. Nøgletal'!C20)*(1+'Fane 12. Nøgletal'!C11)+G25*(1-'Fane 12. Nøgletal'!C21)*(1+'Fane 12. Nøgletal'!C12)</f>
        <v>7746977.6311841439</v>
      </c>
      <c r="H30" s="14" t="s">
        <v>3</v>
      </c>
      <c r="I30" s="1"/>
    </row>
    <row r="31" spans="1:9" x14ac:dyDescent="0.25">
      <c r="A31" s="1"/>
      <c r="B31" s="105" t="s">
        <v>156</v>
      </c>
      <c r="C31" s="106"/>
      <c r="D31" s="106"/>
      <c r="E31" s="106"/>
      <c r="F31" s="107"/>
      <c r="G31" s="24">
        <f>G25*(1-'Fane 12. Nøgletal'!C21)*(1+'Fane 12. Nøgletal'!C12)</f>
        <v>595640.78691536374</v>
      </c>
      <c r="H31" s="14" t="s">
        <v>3</v>
      </c>
      <c r="I31" s="1"/>
    </row>
    <row r="32" spans="1:9" x14ac:dyDescent="0.25">
      <c r="A32" s="1"/>
      <c r="B32" s="102" t="s">
        <v>204</v>
      </c>
      <c r="C32" s="103"/>
      <c r="D32" s="103"/>
      <c r="E32" s="103"/>
      <c r="F32" s="104"/>
      <c r="G32" s="24">
        <f>SUM('Fane 2.1. Økonomisk ramme 2021'!C13,'Fane 2.1. Økonomisk ramme 2021'!C15,'Fane 2.1. Økonomisk ramme 2021'!C17)*(1+'Fane 12. Nøgletal'!C13)</f>
        <v>890250.73557624116</v>
      </c>
      <c r="H32" s="14" t="s">
        <v>3</v>
      </c>
      <c r="I32" s="1"/>
    </row>
    <row r="33" spans="1:9" x14ac:dyDescent="0.25">
      <c r="A33" s="1"/>
      <c r="B33" s="102" t="s">
        <v>89</v>
      </c>
      <c r="C33" s="103"/>
      <c r="D33" s="103"/>
      <c r="E33" s="103"/>
      <c r="F33" s="104"/>
      <c r="G33" s="24">
        <f>(G30-G31)*'Fane 12. Nøgletal'!C20+G31*'Fane 12. Nøgletal'!C21+G32*'Fane 12. Nøgletal'!C22</f>
        <v>103614.72412188134</v>
      </c>
      <c r="H33" s="14" t="s">
        <v>3</v>
      </c>
      <c r="I33" s="1"/>
    </row>
    <row r="34" spans="1:9" x14ac:dyDescent="0.25">
      <c r="A34" s="1"/>
      <c r="B34" s="47"/>
      <c r="C34" s="48"/>
      <c r="D34" s="48"/>
      <c r="E34" s="48"/>
      <c r="F34" s="48"/>
      <c r="G34" s="48"/>
      <c r="H34" s="20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99" t="s">
        <v>138</v>
      </c>
      <c r="C36" s="100"/>
      <c r="D36" s="100"/>
      <c r="E36" s="100"/>
      <c r="F36" s="100"/>
      <c r="G36" s="100"/>
      <c r="H36" s="101"/>
      <c r="I36" s="1"/>
    </row>
    <row r="37" spans="1:9" x14ac:dyDescent="0.25">
      <c r="A37" s="1"/>
      <c r="B37" s="102" t="s">
        <v>92</v>
      </c>
      <c r="C37" s="103"/>
      <c r="D37" s="103"/>
      <c r="E37" s="103"/>
      <c r="F37" s="104"/>
      <c r="G37" s="24">
        <f>(G30-G31)*(1-'Fane 12. Nøgletal'!C20)*(1+'Fane 12. Nøgletal'!C11)+G31*(1-'Fane 12. Nøgletal'!C21)*(1+'Fane 12. Nøgletal'!C12)+G32*(1-'Fane 12. Nøgletal'!C22)*(1+'Fane 12. Nøgletal'!C13)</f>
        <v>8675383.0284974463</v>
      </c>
      <c r="H37" s="14" t="s">
        <v>3</v>
      </c>
      <c r="I37" s="1"/>
    </row>
    <row r="38" spans="1:9" x14ac:dyDescent="0.25">
      <c r="A38" s="1"/>
      <c r="B38" s="105" t="s">
        <v>156</v>
      </c>
      <c r="C38" s="106"/>
      <c r="D38" s="106"/>
      <c r="E38" s="106"/>
      <c r="F38" s="107"/>
      <c r="G38" s="24">
        <f>G31*(1-'Fane 12. Nøgletal'!C21)*(1+'Fane 12. Nøgletal'!C12)</f>
        <v>590125.46296173672</v>
      </c>
      <c r="H38" s="14" t="s">
        <v>3</v>
      </c>
      <c r="I38" s="1"/>
    </row>
    <row r="39" spans="1:9" x14ac:dyDescent="0.25">
      <c r="A39" s="1"/>
      <c r="B39" s="105" t="s">
        <v>206</v>
      </c>
      <c r="C39" s="106"/>
      <c r="D39" s="106"/>
      <c r="E39" s="106"/>
      <c r="F39" s="107"/>
      <c r="G39" s="24">
        <f>G32*(1-'Fane 12. Nøgletal'!C22)*(1+'Fane 12. Nøgletal'!C13)</f>
        <v>876331.22020013887</v>
      </c>
      <c r="H39" s="14" t="s">
        <v>3</v>
      </c>
      <c r="I39" s="1"/>
    </row>
    <row r="40" spans="1:9" x14ac:dyDescent="0.25">
      <c r="A40" s="1"/>
      <c r="B40" s="102" t="s">
        <v>111</v>
      </c>
      <c r="C40" s="103"/>
      <c r="D40" s="103"/>
      <c r="E40" s="103"/>
      <c r="F40" s="104"/>
      <c r="G40" s="24">
        <f>-'Fane 11. Bortfald'!E18*(1+'Fane 12. Nøgletal'!C13)</f>
        <v>0</v>
      </c>
      <c r="H40" s="14" t="s">
        <v>3</v>
      </c>
      <c r="I40" s="1"/>
    </row>
    <row r="41" spans="1:9" x14ac:dyDescent="0.25">
      <c r="A41" s="1"/>
      <c r="B41" s="102" t="s">
        <v>216</v>
      </c>
      <c r="C41" s="103"/>
      <c r="D41" s="103"/>
      <c r="E41" s="103"/>
      <c r="F41" s="104"/>
      <c r="G41" s="24">
        <f>(G37-SUM(G38:G39))*'Fane 12. Nøgletal'!C20+G38*'Fane 12. Nøgletal'!C21+(G39+G40)*'Fane 12. Nøgletal'!C22</f>
        <v>103576.3309080366</v>
      </c>
      <c r="H41" s="14" t="s">
        <v>3</v>
      </c>
      <c r="I41" s="1"/>
    </row>
    <row r="42" spans="1:9" x14ac:dyDescent="0.25">
      <c r="A42" s="1"/>
      <c r="B42" s="47"/>
      <c r="C42" s="48"/>
      <c r="D42" s="48"/>
      <c r="E42" s="48"/>
      <c r="F42" s="48"/>
      <c r="G42" s="48"/>
      <c r="H42" s="20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99" t="s">
        <v>96</v>
      </c>
      <c r="C44" s="100"/>
      <c r="D44" s="100"/>
      <c r="E44" s="100"/>
      <c r="F44" s="100"/>
      <c r="G44" s="100"/>
      <c r="H44" s="101"/>
      <c r="I44" s="1"/>
    </row>
    <row r="45" spans="1:9" x14ac:dyDescent="0.25">
      <c r="A45" s="1"/>
      <c r="B45" s="102" t="s">
        <v>91</v>
      </c>
      <c r="C45" s="103"/>
      <c r="D45" s="103"/>
      <c r="E45" s="103"/>
      <c r="F45" s="104"/>
      <c r="G45" s="24">
        <f>(G37+G40-G41)*(1+'Fane 12. Nøgletal'!C13)</f>
        <v>8676382.7393000014</v>
      </c>
      <c r="H45" s="14" t="s">
        <v>3</v>
      </c>
      <c r="I45" s="1"/>
    </row>
    <row r="46" spans="1:9" x14ac:dyDescent="0.25">
      <c r="A46" s="1"/>
      <c r="B46" s="102" t="s">
        <v>112</v>
      </c>
      <c r="C46" s="103"/>
      <c r="D46" s="103"/>
      <c r="E46" s="103"/>
      <c r="F46" s="104"/>
      <c r="G46" s="24">
        <f>-'Fane 11. Bortfald'!E24*(1+'Fane 12. Nøgletal'!C13)</f>
        <v>0</v>
      </c>
      <c r="H46" s="14" t="s">
        <v>3</v>
      </c>
      <c r="I46" s="1"/>
    </row>
    <row r="47" spans="1:9" x14ac:dyDescent="0.25">
      <c r="A47" s="1"/>
      <c r="B47" s="102" t="s">
        <v>90</v>
      </c>
      <c r="C47" s="103"/>
      <c r="D47" s="103"/>
      <c r="E47" s="103"/>
      <c r="F47" s="104"/>
      <c r="G47" s="24">
        <f>(G45+G46)*'Fane 12. Nøgletal'!C22</f>
        <v>238600.52533075004</v>
      </c>
      <c r="H47" s="14" t="s">
        <v>3</v>
      </c>
      <c r="I47" s="1"/>
    </row>
    <row r="48" spans="1:9" x14ac:dyDescent="0.25">
      <c r="A48" s="1"/>
      <c r="B48" s="47"/>
      <c r="C48" s="48"/>
      <c r="D48" s="48"/>
      <c r="E48" s="48"/>
      <c r="F48" s="48"/>
      <c r="G48" s="48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99" t="s">
        <v>207</v>
      </c>
      <c r="C51" s="100"/>
      <c r="D51" s="100"/>
      <c r="E51" s="100"/>
      <c r="F51" s="100"/>
      <c r="G51" s="100"/>
      <c r="H51" s="101"/>
      <c r="I51" s="1"/>
    </row>
    <row r="52" spans="1:9" x14ac:dyDescent="0.25">
      <c r="A52" s="1"/>
      <c r="B52" s="102" t="s">
        <v>208</v>
      </c>
      <c r="C52" s="103"/>
      <c r="D52" s="103"/>
      <c r="E52" s="103"/>
      <c r="F52" s="104"/>
      <c r="G52" s="24">
        <f>(G45+G46-G47)*(1+'Fane 12. Nøgletal'!C13)</f>
        <v>8540723.1569796763</v>
      </c>
      <c r="H52" s="14" t="s">
        <v>3</v>
      </c>
      <c r="I52" s="1"/>
    </row>
    <row r="53" spans="1:9" x14ac:dyDescent="0.25">
      <c r="A53" s="1"/>
      <c r="B53" s="102" t="s">
        <v>209</v>
      </c>
      <c r="C53" s="103"/>
      <c r="D53" s="103"/>
      <c r="E53" s="103"/>
      <c r="F53" s="104"/>
      <c r="G53" s="24">
        <f>-'Fane 11. Bortfald'!E30*(1+'Fane 12. Nøgletal'!C13)</f>
        <v>0</v>
      </c>
      <c r="H53" s="14" t="s">
        <v>3</v>
      </c>
      <c r="I53" s="1"/>
    </row>
    <row r="54" spans="1:9" x14ac:dyDescent="0.25">
      <c r="A54" s="1"/>
      <c r="B54" s="102" t="s">
        <v>210</v>
      </c>
      <c r="C54" s="103"/>
      <c r="D54" s="103"/>
      <c r="E54" s="103"/>
      <c r="F54" s="104"/>
      <c r="G54" s="24">
        <f>(G52+G53)*'Fane 12. Nøgletal'!C22</f>
        <v>234869.88681694111</v>
      </c>
      <c r="H54" s="14" t="s">
        <v>3</v>
      </c>
      <c r="I54" s="1"/>
    </row>
    <row r="55" spans="1:9" x14ac:dyDescent="0.25">
      <c r="A55" s="1"/>
      <c r="B55" s="47"/>
      <c r="C55" s="48"/>
      <c r="D55" s="48"/>
      <c r="E55" s="48"/>
      <c r="F55" s="48"/>
      <c r="G55" s="48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ymkfngI2oLUnpADSDc7KFXmS0AJnV6gqjEeNQ9wjHZUmSXx1GWRhwTB7JiBxjvoYbo0TK5bEhaK5sgjSprBR7Q==" saltValue="RwZIYRjNeF37gBMMeZsLPA==" spinCount="100000" sheet="1" objects="1" scenarios="1"/>
  <mergeCells count="36">
    <mergeCell ref="B2:H3"/>
    <mergeCell ref="B32:F32"/>
    <mergeCell ref="B23:H23"/>
    <mergeCell ref="B40:F40"/>
    <mergeCell ref="B52:F52"/>
    <mergeCell ref="B31:F31"/>
    <mergeCell ref="B39:F39"/>
    <mergeCell ref="B37:F37"/>
    <mergeCell ref="B51:H51"/>
    <mergeCell ref="B47:F47"/>
    <mergeCell ref="B20:F20"/>
    <mergeCell ref="B5:H5"/>
    <mergeCell ref="B6:F6"/>
    <mergeCell ref="B7:F7"/>
    <mergeCell ref="B10:H10"/>
    <mergeCell ref="B11:F11"/>
    <mergeCell ref="B12:F12"/>
    <mergeCell ref="B13:F13"/>
    <mergeCell ref="B16:H16"/>
    <mergeCell ref="B17:F17"/>
    <mergeCell ref="B53:F53"/>
    <mergeCell ref="B54:F54"/>
    <mergeCell ref="B18:F18"/>
    <mergeCell ref="B46:F46"/>
    <mergeCell ref="B24:F24"/>
    <mergeCell ref="B25:F25"/>
    <mergeCell ref="B26:F26"/>
    <mergeCell ref="B41:F41"/>
    <mergeCell ref="B44:H44"/>
    <mergeCell ref="B45:F45"/>
    <mergeCell ref="B29:H29"/>
    <mergeCell ref="B30:F30"/>
    <mergeCell ref="B33:F33"/>
    <mergeCell ref="B36:H36"/>
    <mergeCell ref="B38:F38"/>
    <mergeCell ref="B19:F1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1" t="s">
        <v>105</v>
      </c>
      <c r="C3" s="71"/>
      <c r="D3" s="71"/>
      <c r="E3" s="71"/>
      <c r="F3" s="71"/>
      <c r="G3" s="71"/>
      <c r="H3" s="71"/>
      <c r="I3" s="1"/>
    </row>
    <row r="4" spans="1:9" ht="15" customHeight="1" x14ac:dyDescent="0.2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9" t="s">
        <v>9</v>
      </c>
      <c r="C8" s="100"/>
      <c r="D8" s="100"/>
      <c r="E8" s="100"/>
      <c r="F8" s="100"/>
      <c r="G8" s="100"/>
      <c r="H8" s="101"/>
      <c r="I8" s="1"/>
    </row>
    <row r="9" spans="1:9" x14ac:dyDescent="0.25">
      <c r="A9" s="1"/>
      <c r="B9" s="102" t="s">
        <v>127</v>
      </c>
      <c r="C9" s="103"/>
      <c r="D9" s="103"/>
      <c r="E9" s="103"/>
      <c r="F9" s="104"/>
      <c r="G9" s="23">
        <v>0</v>
      </c>
      <c r="H9" s="14"/>
      <c r="I9" s="1"/>
    </row>
    <row r="10" spans="1:9" x14ac:dyDescent="0.25">
      <c r="A10" s="1"/>
      <c r="B10" s="102" t="s">
        <v>137</v>
      </c>
      <c r="C10" s="103"/>
      <c r="D10" s="103"/>
      <c r="E10" s="103"/>
      <c r="F10" s="104"/>
      <c r="G10" s="23">
        <v>0</v>
      </c>
      <c r="H10" s="14"/>
      <c r="I10" s="1"/>
    </row>
    <row r="11" spans="1:9" x14ac:dyDescent="0.25">
      <c r="A11" s="1"/>
      <c r="B11" s="47"/>
      <c r="C11" s="48"/>
      <c r="D11" s="48"/>
      <c r="E11" s="48"/>
      <c r="F11" s="48"/>
      <c r="G11" s="48"/>
      <c r="H11" s="20"/>
      <c r="I11" s="1"/>
    </row>
    <row r="12" spans="1:9" ht="40.5" customHeight="1" x14ac:dyDescent="0.25">
      <c r="A12" s="1"/>
      <c r="B12" s="85" t="s">
        <v>240</v>
      </c>
      <c r="C12" s="86"/>
      <c r="D12" s="86"/>
      <c r="E12" s="86"/>
      <c r="F12" s="86"/>
      <c r="G12" s="86"/>
      <c r="H12" s="87"/>
      <c r="I12" s="1"/>
    </row>
    <row r="13" spans="1:9" ht="14.25" customHeight="1" x14ac:dyDescent="0.25">
      <c r="A13" s="18"/>
      <c r="B13" s="111"/>
      <c r="C13" s="111"/>
      <c r="D13" s="111"/>
      <c r="E13" s="111"/>
      <c r="F13" s="111"/>
      <c r="G13" s="111"/>
      <c r="H13" s="111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fObZUOvVHLTLKfzCXyq6Mf4H4311pI0niK0tOrxJOjtMSkAlsrS1sE//wBArci9WcqBIiH/ONgsHY8eHtItRA==" saltValue="J47T2eyh91RE0adRQJwxNg==" spinCount="100000" sheet="1" objects="1" scenarios="1"/>
  <mergeCells count="6">
    <mergeCell ref="B3:H4"/>
    <mergeCell ref="B13:H13"/>
    <mergeCell ref="B9:F9"/>
    <mergeCell ref="B8:H8"/>
    <mergeCell ref="B10:F10"/>
    <mergeCell ref="B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2020-09-28T11:30:23Z</dcterms:modified>
</cp:coreProperties>
</file>