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alborg Kloak AS (S10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16" i="40" l="1"/>
  <c r="E12" i="40"/>
  <c r="E18" i="27" l="1"/>
  <c r="G26" i="30" l="1"/>
  <c r="E29" i="32" l="1"/>
  <c r="E33" i="32" s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49" i="11" l="1"/>
  <c r="E50" i="11"/>
  <c r="E10" i="11"/>
  <c r="G7" i="30" l="1"/>
  <c r="E29" i="20" l="1"/>
  <c r="E23" i="20"/>
  <c r="E17" i="20"/>
  <c r="E11" i="20"/>
  <c r="E12" i="20" s="1"/>
  <c r="E21" i="32" l="1"/>
  <c r="E12" i="32"/>
  <c r="E17" i="40" l="1"/>
  <c r="C34" i="2" s="1"/>
  <c r="E28" i="20" l="1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C38" i="39" s="1"/>
  <c r="C21" i="23" s="1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22" i="39" l="1"/>
  <c r="C22" i="15" s="1"/>
  <c r="E22" i="39"/>
  <c r="C23" i="15" s="1"/>
  <c r="E30" i="39"/>
  <c r="C22" i="22" s="1"/>
  <c r="C23" i="22" s="1"/>
  <c r="E38" i="39"/>
  <c r="C22" i="23" s="1"/>
  <c r="C23" i="23" s="1"/>
  <c r="E14" i="39"/>
  <c r="C31" i="2" s="1"/>
  <c r="C14" i="39"/>
  <c r="C30" i="2" s="1"/>
  <c r="C24" i="15" l="1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51" i="11"/>
  <c r="C10" i="37" s="1"/>
  <c r="C13" i="37" s="1"/>
  <c r="C14" i="37" s="1"/>
  <c r="C14" i="2" s="1"/>
  <c r="G51" i="11"/>
  <c r="E11" i="21" l="1"/>
  <c r="C11" i="21"/>
  <c r="E11" i="29"/>
  <c r="C11" i="29"/>
  <c r="C16" i="19"/>
  <c r="C17" i="19" s="1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51" i="11"/>
  <c r="E10" i="37" s="1"/>
  <c r="E13" i="37" s="1"/>
  <c r="E14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<sst xmlns="http://schemas.openxmlformats.org/spreadsheetml/2006/main" count="827" uniqueCount="308">
  <si>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</si>
  <si>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</si>
  <si>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</si>
  <si>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</si>
  <si>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</si>
  <si>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</si>
  <si>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</si>
  <si>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</si>
  <si>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</si>
  <si>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</si>
  <si>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</si>
  <si>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</si>
  <si>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</si>
  <si>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</si>
  <si>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</si>
  <si>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</si>
  <si>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</si>
  <si>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</si>
  <si>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</si>
  <si>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</si>
  <si>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</si>
  <si>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</si>
  <si>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</si>
  <si>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</si>
  <si>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</si>
  <si>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</si>
  <si>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</si>
  <si>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</si>
  <si>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</si>
  <si>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</si>
  <si>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</si>
  <si>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</si>
  <si>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</si>
  <si>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</si>
  <si>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</si>
  <si>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</si>
  <si>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</si>
  <si>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</si>
  <si>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</si>
  <si>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</si>
  <si>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</si>
  <si>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</si>
  <si>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</si>
  <si>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</si>
  <si>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</si>
  <si>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</si>
  <si>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</si>
  <si>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</si>
  <si>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</si>
  <si>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</si>
  <si>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</si>
  <si>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</si>
  <si>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</si>
  <si>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</si>
  <si>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</si>
  <si>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</si>
  <si>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</si>
  <si>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</si>
  <si>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</si>
  <si>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</si>
  <si>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</si>
  <si>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</si>
  <si>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</si>
  <si>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</si>
  <si>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</si>
  <si>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</si>
  <si>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</si>
  <si>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</si>
  <si>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</si>
  <si>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</si>
  <si>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</si>
  <si>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</si>
  <si>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</si>
  <si>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</si>
  <si>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</si>
  <si>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</si>
  <si>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</si>
  <si>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</si>
  <si>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</si>
  <si>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</si>
  <si>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</si>
  <si>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</si>
  <si>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</si>
  <si>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</si>
  <si>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</si>
  <si>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</si>
  <si>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</si>
  <si>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</si>
  <si>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</si>
  <si>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</si>
  <si>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</si>
  <si>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</si>
  <si>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</si>
  <si>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</si>
  <si>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</si>
  <si>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</si>
  <si>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</si>
  <si>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</si>
  <si>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</si>
  <si>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</si>
  <si>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</si>
  <si>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</si>
  <si>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</si>
  <si>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</si>
  <si>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</si>
  <si>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</si>
  <si>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</si>
  <si>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</si>
  <si>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</si>
  <si>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</si>
  <si>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</si>
  <si>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</si>
  <si>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</si>
  <si>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</si>
  <si>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</si>
  <si>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</si>
  <si>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</si>
  <si>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</si>
  <si>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</si>
  <si>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</si>
  <si>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</si>
  <si>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</si>
  <si>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</si>
  <si>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</si>
  <si>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</si>
  <si>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</si>
  <si>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</si>
  <si>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</si>
  <si>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</si>
  <si>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</si>
  <si>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</si>
  <si>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</si>
  <si>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</si>
  <si>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</si>
  <si>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</si>
  <si>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</si>
  <si>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</si>
  <si>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</si>
  <si>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</si>
  <si>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</si>
  <si>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</si>
  <si>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</si>
  <si>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</si>
  <si>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</si>
  <si>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</si>
  <si>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</si>
  <si>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</si>
  <si>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</si>
  <si>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</si>
  <si>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</si>
  <si>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</si>
  <si>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</si>
  <si>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</si>
  <si>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</si>
  <si>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</si>
  <si>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</si>
  <si>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</si>
  <si>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</si>
  <si>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</si>
  <si>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</si>
  <si>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</si>
  <si>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</si>
  <si>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</si>
  <si>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</si>
  <si>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</si>
  <si>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</si>
  <si>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</si>
  <si>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</si>
  <si>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</si>
  <si>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</si>
  <si>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</si>
  <si>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</si>
  <si>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</si>
  <si>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</si>
  <si>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</si>
  <si>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</si>
  <si>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</si>
  <si>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</si>
  <si>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</si>
  <si>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</si>
  <si>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</si>
  <si>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</si>
  <si>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</si>
  <si>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</si>
  <si>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</si>
  <si>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</si>
  <si>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</si>
  <si>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</si>
  <si>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</si>
  <si>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</si>
  <si>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</si>
  <si>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</si>
  <si>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</si>
  <si>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</si>
  <si>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</si>
  <si>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</si>
  <si>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</si>
  <si>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</si>
  <si>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</si>
  <si>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</si>
  <si>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</si>
  <si>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</si>
  <si>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</si>
  <si>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</si>
  <si>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</si>
  <si>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</si>
  <si>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</si>
  <si>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</si>
  <si>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</si>
  <si>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</si>
  <si>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</si>
  <si>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</si>
  <si>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</si>
  <si>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</si>
  <si>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</si>
  <si>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</si>
  <si>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</si>
  <si>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</si>
  <si>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</si>
  <si>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</si>
  <si>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</si>
  <si>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</si>
  <si>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</si>
  <si>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</si>
  <si>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</si>
  <si>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</si>
  <si>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</si>
  <si>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</si>
  <si>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</si>
  <si>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</si>
  <si>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</si>
  <si>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</si>
  <si>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</si>
  <si>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</si>
  <si>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</si>
  <si>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</si>
  <si>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</si>
  <si>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</si>
  <si>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</si>
  <si>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</si>
  <si>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</si>
  <si>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</si>
  <si>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</si>
  <si>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</si>
  <si>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</si>
  <si>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</si>
  <si>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</si>
  <si>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</si>
  <si>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</si>
  <si>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</si>
  <si>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</si>
  <si>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</si>
  <si>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</si>
  <si>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</si>
  <si>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</si>
  <si>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</si>
  <si>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</si>
  <si>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</si>
  <si>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</si>
  <si>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</si>
  <si>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</si>
  <si>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</si>
  <si>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</si>
  <si>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</si>
  <si>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</si>
  <si>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</si>
  <si>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</si>
  <si>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</si>
  <si>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</si>
  <si>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</si>
  <si>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</si>
  <si>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</si>
  <si>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Separatkloakeringer</t>
  </si>
  <si>
    <t>Byggemodninger og spildevandskloakering</t>
  </si>
  <si>
    <t>Spildevandsafgift</t>
  </si>
  <si>
    <t>Afgift til Forsyningssekretariatet</t>
  </si>
  <si>
    <t>Ejendomsskatter</t>
  </si>
  <si>
    <t>Tjenestemandspensioner</t>
  </si>
  <si>
    <t>Erstatninger</t>
  </si>
  <si>
    <t>Betaling til projekters medfinansiering (Sofiendal Enge)</t>
  </si>
  <si>
    <t>Ingen engangstillæg</t>
  </si>
  <si>
    <t>IT, IG Dandas</t>
  </si>
  <si>
    <t>5</t>
  </si>
  <si>
    <t>Rådnetanke, slam, SRO</t>
  </si>
  <si>
    <t>10</t>
  </si>
  <si>
    <t>Rådnetanke, slam, Mek/EL</t>
  </si>
  <si>
    <t>20</t>
  </si>
  <si>
    <t>Rådnetanke, slam, Konstruktioner</t>
  </si>
  <si>
    <t>60</t>
  </si>
  <si>
    <t>Brønde</t>
  </si>
  <si>
    <t>75</t>
  </si>
  <si>
    <t>Stik</t>
  </si>
  <si>
    <t>Ledningsnet ≤ Ø 200 mm</t>
  </si>
  <si>
    <t>Jordbassin Klasse A</t>
  </si>
  <si>
    <t>50</t>
  </si>
  <si>
    <t>Indløb-/udløbsarrangement</t>
  </si>
  <si>
    <t>Ø 200 mm &lt; Ledningsnet ≤ Ø 500 mm</t>
  </si>
  <si>
    <t>Pumpestationer i brønde (&lt; 6,25 m2), SRO</t>
  </si>
  <si>
    <t>Pumpestationer i brønde (&lt; 6,25 m2), Mek/EL</t>
  </si>
  <si>
    <t>Pumpeinstallation Miljøklasse A (100-300 l/s) - Mek/EL</t>
  </si>
  <si>
    <t>Pumpestationer i brønde (&lt; 6,25 m2), Konstruktioner</t>
  </si>
  <si>
    <t>Forklaring, SRO</t>
  </si>
  <si>
    <t>Forklaring, Mek/EL</t>
  </si>
  <si>
    <t>Forklaring, Konstruktioner</t>
  </si>
  <si>
    <t>Ø 500 mm &lt; Ledningsnet ≤ Ø 800 mm</t>
  </si>
  <si>
    <t>Ø 800 mm &lt; Ledningsnet ≤ Ø 1000 mm</t>
  </si>
  <si>
    <t>Ø 1000 mm &lt; Ledningsnet ≤ Ø 1200 mm</t>
  </si>
  <si>
    <t>Strømpeforing Ø 200 mm &lt; Ledningsnet ≤ Ø 500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</si>
</sst>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263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264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39</v>
      </c>
      <c r="D15" s="66" t="s">
        <v>104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40</v>
      </c>
      <c r="D16" s="66" t="s">
        <v>188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184</v>
      </c>
      <c r="D17" s="66" t="s">
        <v>189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156</v>
      </c>
      <c r="D18" s="69" t="s">
        <v>134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157</v>
      </c>
      <c r="D19" s="69" t="s">
        <v>135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158</v>
      </c>
      <c r="D21" s="57" t="s">
        <v>13</v>
      </c>
      <c r="E21" s="58"/>
      <c r="F21" s="58"/>
      <c r="G21" s="59"/>
      <c r="H21" s="1"/>
      <c r="I21" s="1"/>
    </row>
    <row r="22" spans="1:9" x14ac:dyDescent="0.25">
      <c r="A22" s="1"/>
      <c r="B22" s="1"/>
      <c r="C22" s="6" t="s">
        <v>108</v>
      </c>
      <c r="D22" s="60" t="s">
        <v>190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191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42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159</v>
      </c>
      <c r="D25" s="60" t="s">
        <v>109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160</v>
      </c>
      <c r="D26" s="60" t="s">
        <v>110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161</v>
      </c>
      <c r="D27" s="60" t="s">
        <v>111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16</v>
      </c>
      <c r="D28" s="60" t="s">
        <v>187</v>
      </c>
      <c r="E28" s="61"/>
      <c r="F28" s="61"/>
      <c r="G28" s="62"/>
      <c r="H28" s="1"/>
      <c r="I28" s="1"/>
    </row>
    <row r="29" spans="1:9" x14ac:dyDescent="0.25">
      <c r="A29" s="1"/>
      <c r="B29" s="1"/>
      <c r="C29" s="6" t="s">
        <v>44</v>
      </c>
      <c r="D29" s="60" t="s">
        <v>43</v>
      </c>
      <c r="E29" s="61"/>
      <c r="F29" s="61"/>
      <c r="G29" s="62"/>
      <c r="H29" s="1"/>
      <c r="I29" s="1"/>
    </row>
    <row r="30" spans="1:9" x14ac:dyDescent="0.25">
      <c r="A30" s="1"/>
      <c r="B30" s="1"/>
      <c r="C30" s="6" t="s">
        <v>45</v>
      </c>
      <c r="D30" s="54" t="s">
        <v>151</v>
      </c>
      <c r="E30" s="55"/>
      <c r="F30" s="55"/>
      <c r="G30" s="5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165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2" t="s">
        <v>203</v>
      </c>
      <c r="C8" s="103"/>
      <c r="D8" s="104"/>
      <c r="E8" s="1"/>
      <c r="F8" s="1"/>
    </row>
    <row r="9" spans="1:6" ht="15" customHeight="1" x14ac:dyDescent="0.25">
      <c r="A9" s="1"/>
      <c r="B9" s="45" t="s">
        <v>37</v>
      </c>
      <c r="C9" s="11" t="s">
        <v>204</v>
      </c>
      <c r="D9" s="11"/>
      <c r="E9" s="1"/>
      <c r="F9" s="1"/>
    </row>
    <row r="10" spans="1:6" x14ac:dyDescent="0.25">
      <c r="A10" s="1"/>
      <c r="B10" s="49" t="s">
        <v>274</v>
      </c>
      <c r="C10" s="9">
        <v>7889740</v>
      </c>
      <c r="D10" s="14" t="s">
        <v>3</v>
      </c>
      <c r="E10" s="1"/>
      <c r="F10" s="1"/>
    </row>
    <row r="11" spans="1:6" x14ac:dyDescent="0.25">
      <c r="A11" s="1"/>
      <c r="B11" s="49" t="s">
        <v>275</v>
      </c>
      <c r="C11" s="9">
        <v>249538</v>
      </c>
      <c r="D11" s="14" t="s">
        <v>3</v>
      </c>
      <c r="E11" s="1"/>
      <c r="F11" s="1"/>
    </row>
    <row r="12" spans="1:6" x14ac:dyDescent="0.25">
      <c r="A12" s="1"/>
      <c r="B12" s="49" t="s">
        <v>276</v>
      </c>
      <c r="C12" s="9">
        <v>648757</v>
      </c>
      <c r="D12" s="14" t="s">
        <v>3</v>
      </c>
      <c r="E12" s="1"/>
      <c r="F12" s="1"/>
    </row>
    <row r="13" spans="1:6" x14ac:dyDescent="0.25">
      <c r="A13" s="1"/>
      <c r="B13" s="49" t="s">
        <v>277</v>
      </c>
      <c r="C13" s="9">
        <v>36330606</v>
      </c>
      <c r="D13" s="14" t="s">
        <v>3</v>
      </c>
      <c r="E13" s="1"/>
      <c r="F13" s="1"/>
    </row>
    <row r="14" spans="1:6" x14ac:dyDescent="0.25">
      <c r="A14" s="1"/>
      <c r="B14" s="49" t="s">
        <v>278</v>
      </c>
      <c r="C14" s="9">
        <v>1098888</v>
      </c>
      <c r="D14" s="14" t="s">
        <v>3</v>
      </c>
      <c r="E14" s="1"/>
      <c r="F14" s="1"/>
    </row>
    <row r="15" spans="1:6" ht="26.25" x14ac:dyDescent="0.25">
      <c r="A15" s="1"/>
      <c r="B15" s="40" t="s">
        <v>279</v>
      </c>
      <c r="C15" s="9">
        <v>5498959</v>
      </c>
      <c r="D15" s="14" t="s">
        <v>3</v>
      </c>
      <c r="E15" s="1"/>
      <c r="F15" s="1"/>
    </row>
    <row r="16" spans="1:6" x14ac:dyDescent="0.25">
      <c r="A16" s="1"/>
      <c r="B16" s="37" t="s">
        <v>205</v>
      </c>
      <c r="C16" s="12">
        <f>SUM(C10:C15)</f>
        <v>51716488</v>
      </c>
      <c r="D16" s="13" t="s">
        <v>3</v>
      </c>
      <c r="E16" s="1"/>
      <c r="F16" s="1"/>
    </row>
    <row r="17" spans="1:6" x14ac:dyDescent="0.25">
      <c r="A17" s="1"/>
      <c r="B17" s="37" t="s">
        <v>206</v>
      </c>
      <c r="C17" s="12">
        <f>C16*(1+'Fane 14. Nøgletal'!C13)^2</f>
        <v>52986067.789273918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02" t="s">
        <v>176</v>
      </c>
      <c r="C20" s="103"/>
      <c r="D20" s="104"/>
      <c r="E20" s="1"/>
      <c r="F20" s="1"/>
    </row>
    <row r="21" spans="1:6" x14ac:dyDescent="0.25">
      <c r="A21" s="1"/>
      <c r="B21" s="49" t="s">
        <v>142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9" t="s">
        <v>143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49" t="s">
        <v>144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49" t="s">
        <v>207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102"/>
      <c r="C25" s="103"/>
      <c r="D25" s="104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02" t="s">
        <v>141</v>
      </c>
      <c r="C28" s="103"/>
      <c r="D28" s="104"/>
      <c r="E28" s="1"/>
      <c r="F28" s="1"/>
    </row>
    <row r="29" spans="1:6" x14ac:dyDescent="0.25">
      <c r="A29" s="1"/>
      <c r="B29" s="49" t="s">
        <v>142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143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9" t="s">
        <v>144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49" t="s">
        <v>207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102"/>
      <c r="C33" s="103"/>
      <c r="D33" s="104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lbWTA9zTS8wwBhe91YOWyvc0Ji/U2PgxVR+pyuCQBl/N9aeaMXj21GVWrZCTZVXZz13hfkDnp0ceJDsjiyFQiA==" saltValue="BrizsR33yR0E6/vwLQXvo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39"/>
      <c r="C6" s="39"/>
      <c r="D6" s="39"/>
      <c r="E6" s="39"/>
      <c r="F6" s="3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250</v>
      </c>
      <c r="C8" s="103"/>
      <c r="D8" s="103"/>
      <c r="E8" s="103"/>
      <c r="F8" s="104"/>
      <c r="G8" s="1"/>
    </row>
    <row r="9" spans="1:7" x14ac:dyDescent="0.25">
      <c r="A9" s="1"/>
      <c r="B9" s="99" t="s">
        <v>251</v>
      </c>
      <c r="C9" s="100"/>
      <c r="D9" s="101"/>
      <c r="E9" s="9">
        <v>265121093.51469612</v>
      </c>
      <c r="F9" s="14" t="s">
        <v>3</v>
      </c>
      <c r="G9" s="1"/>
    </row>
    <row r="10" spans="1:7" x14ac:dyDescent="0.25">
      <c r="A10" s="1"/>
      <c r="B10" s="99" t="s">
        <v>252</v>
      </c>
      <c r="C10" s="100"/>
      <c r="D10" s="101"/>
      <c r="E10" s="9">
        <v>257906593</v>
      </c>
      <c r="F10" s="14" t="s">
        <v>3</v>
      </c>
      <c r="G10" s="1"/>
    </row>
    <row r="11" spans="1:7" x14ac:dyDescent="0.2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25">
      <c r="A12" s="1"/>
      <c r="B12" s="86" t="s">
        <v>257</v>
      </c>
      <c r="C12" s="87"/>
      <c r="D12" s="88"/>
      <c r="E12" s="10">
        <f>E9-(E10-E11)</f>
        <v>7214500.5146961212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74" t="s">
        <v>253</v>
      </c>
      <c r="C14" s="75"/>
      <c r="D14" s="75"/>
      <c r="E14" s="75"/>
      <c r="F14" s="7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02" t="s">
        <v>51</v>
      </c>
      <c r="C17" s="103"/>
      <c r="D17" s="103"/>
      <c r="E17" s="103"/>
      <c r="F17" s="104"/>
      <c r="G17" s="1"/>
    </row>
    <row r="18" spans="1:7" x14ac:dyDescent="0.25">
      <c r="A18" s="1"/>
      <c r="B18" s="99" t="s">
        <v>52</v>
      </c>
      <c r="C18" s="100"/>
      <c r="D18" s="101"/>
      <c r="E18" s="9">
        <v>280591182.51070982</v>
      </c>
      <c r="F18" s="14" t="s">
        <v>3</v>
      </c>
      <c r="G18" s="1"/>
    </row>
    <row r="19" spans="1:7" x14ac:dyDescent="0.25">
      <c r="A19" s="1"/>
      <c r="B19" s="99" t="s">
        <v>53</v>
      </c>
      <c r="C19" s="100"/>
      <c r="D19" s="101"/>
      <c r="E19" s="9">
        <v>285118230</v>
      </c>
      <c r="F19" s="14" t="s">
        <v>3</v>
      </c>
      <c r="G19" s="1"/>
    </row>
    <row r="20" spans="1:7" x14ac:dyDescent="0.25">
      <c r="A20" s="1"/>
      <c r="B20" s="99" t="s">
        <v>38</v>
      </c>
      <c r="C20" s="100"/>
      <c r="D20" s="101"/>
      <c r="E20" s="9">
        <v>1017581</v>
      </c>
      <c r="F20" s="14" t="s">
        <v>3</v>
      </c>
      <c r="G20" s="1"/>
    </row>
    <row r="21" spans="1:7" x14ac:dyDescent="0.25">
      <c r="A21" s="1"/>
      <c r="B21" s="86" t="s">
        <v>54</v>
      </c>
      <c r="C21" s="87"/>
      <c r="D21" s="88"/>
      <c r="E21" s="10">
        <f>E18-(E19-E20)</f>
        <v>-3509466.4892901778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74" t="s">
        <v>253</v>
      </c>
      <c r="C23" s="75"/>
      <c r="D23" s="75"/>
      <c r="E23" s="75"/>
      <c r="F23" s="76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02" t="s">
        <v>254</v>
      </c>
      <c r="C25" s="103"/>
      <c r="D25" s="103"/>
      <c r="E25" s="103"/>
      <c r="F25" s="104"/>
      <c r="G25" s="1"/>
    </row>
    <row r="26" spans="1:7" x14ac:dyDescent="0.25">
      <c r="A26" s="1"/>
      <c r="B26" s="99" t="s">
        <v>255</v>
      </c>
      <c r="C26" s="100"/>
      <c r="D26" s="101"/>
      <c r="E26" s="9">
        <v>274389906.82156265</v>
      </c>
      <c r="F26" s="14" t="s">
        <v>3</v>
      </c>
      <c r="G26" s="1"/>
    </row>
    <row r="27" spans="1:7" x14ac:dyDescent="0.25">
      <c r="A27" s="1"/>
      <c r="B27" s="99" t="s">
        <v>256</v>
      </c>
      <c r="C27" s="100"/>
      <c r="D27" s="101"/>
      <c r="E27" s="9">
        <v>292859252</v>
      </c>
      <c r="F27" s="14" t="s">
        <v>3</v>
      </c>
      <c r="G27" s="1"/>
    </row>
    <row r="28" spans="1:7" x14ac:dyDescent="0.2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25">
      <c r="A29" s="1"/>
      <c r="B29" s="86" t="s">
        <v>258</v>
      </c>
      <c r="C29" s="87"/>
      <c r="D29" s="88"/>
      <c r="E29" s="10">
        <f>E26-(E27-E28)</f>
        <v>-18469345.178437352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259</v>
      </c>
      <c r="C32" s="103"/>
      <c r="D32" s="103"/>
      <c r="E32" s="103"/>
      <c r="F32" s="104"/>
      <c r="G32" s="1"/>
    </row>
    <row r="33" spans="1:7" x14ac:dyDescent="0.2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-14764311.153031409</v>
      </c>
      <c r="F33" s="14" t="s">
        <v>3</v>
      </c>
      <c r="G33" s="1"/>
    </row>
    <row r="34" spans="1:7" x14ac:dyDescent="0.2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25">
      <c r="A35" s="1"/>
      <c r="B35" s="113" t="s">
        <v>262</v>
      </c>
      <c r="C35" s="113"/>
      <c r="D35" s="113"/>
      <c r="E35" s="10">
        <f>E33/E34</f>
        <v>-7382155.5765157044</v>
      </c>
      <c r="F35" s="17" t="s">
        <v>3</v>
      </c>
      <c r="G35" s="1"/>
    </row>
    <row r="36" spans="1:7" x14ac:dyDescent="0.25">
      <c r="A36" s="1"/>
      <c r="B36" s="114"/>
      <c r="C36" s="115"/>
      <c r="D36" s="115"/>
      <c r="E36" s="115"/>
      <c r="F36" s="11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9:D29"/>
    <mergeCell ref="B23:F23"/>
    <mergeCell ref="B25:F25"/>
    <mergeCell ref="B26:D26"/>
    <mergeCell ref="B27:D27"/>
    <mergeCell ref="B28:D28"/>
    <mergeCell ref="B32:F32"/>
    <mergeCell ref="B33:D33"/>
    <mergeCell ref="B34:D34"/>
    <mergeCell ref="B35:D35"/>
    <mergeCell ref="B36:F36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2" t="s">
        <v>210</v>
      </c>
      <c r="C9" s="103"/>
      <c r="D9" s="103"/>
      <c r="E9" s="103"/>
      <c r="F9" s="103"/>
      <c r="G9" s="1"/>
    </row>
    <row r="10" spans="1:7" x14ac:dyDescent="0.25">
      <c r="A10" s="1"/>
      <c r="B10" s="74" t="s">
        <v>145</v>
      </c>
      <c r="C10" s="75"/>
      <c r="D10" s="76"/>
      <c r="E10" s="7">
        <v>0</v>
      </c>
      <c r="F10" s="8" t="s">
        <v>3</v>
      </c>
      <c r="G10" s="1"/>
    </row>
    <row r="11" spans="1:7" x14ac:dyDescent="0.2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25">
      <c r="A12" s="1"/>
      <c r="B12" s="86" t="s">
        <v>146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102" t="s">
        <v>133</v>
      </c>
      <c r="C13" s="103"/>
      <c r="D13" s="103"/>
      <c r="E13" s="103"/>
      <c r="F13" s="103"/>
      <c r="G13" s="1"/>
    </row>
    <row r="14" spans="1:7" x14ac:dyDescent="0.25">
      <c r="A14" s="1"/>
      <c r="B14" s="99" t="s">
        <v>212</v>
      </c>
      <c r="C14" s="100"/>
      <c r="D14" s="101"/>
      <c r="E14" s="9">
        <v>0</v>
      </c>
      <c r="F14" s="8" t="s">
        <v>3</v>
      </c>
      <c r="G14" s="1"/>
    </row>
    <row r="15" spans="1:7" x14ac:dyDescent="0.25">
      <c r="A15" s="1"/>
      <c r="B15" s="74" t="s">
        <v>213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86" t="s">
        <v>146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236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25">
      <c r="A10" s="1"/>
      <c r="B10" s="51" t="s">
        <v>281</v>
      </c>
      <c r="C10" s="122" t="s">
        <v>282</v>
      </c>
      <c r="D10" s="9">
        <v>2411216</v>
      </c>
      <c r="E10" s="9">
        <f>IFERROR(D10/C10,0)</f>
        <v>482243.2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1" t="s">
        <v>283</v>
      </c>
      <c r="C11" s="122" t="s">
        <v>284</v>
      </c>
      <c r="D11" s="9">
        <v>11700</v>
      </c>
      <c r="E11" s="9">
        <f t="shared" ref="E11:E48" si="0">IFERROR(D11/C11,0)</f>
        <v>1170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1" t="s">
        <v>285</v>
      </c>
      <c r="C12" s="122" t="s">
        <v>286</v>
      </c>
      <c r="D12" s="9">
        <v>349559</v>
      </c>
      <c r="E12" s="9">
        <f t="shared" si="0"/>
        <v>17477.95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1" t="s">
        <v>287</v>
      </c>
      <c r="C13" s="122" t="s">
        <v>288</v>
      </c>
      <c r="D13" s="9">
        <v>14883</v>
      </c>
      <c r="E13" s="9">
        <f t="shared" si="0"/>
        <v>248.05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1" t="s">
        <v>289</v>
      </c>
      <c r="C14" s="122" t="s">
        <v>290</v>
      </c>
      <c r="D14" s="9">
        <v>409064</v>
      </c>
      <c r="E14" s="9">
        <f t="shared" si="0"/>
        <v>5454.1866666666665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1" t="s">
        <v>291</v>
      </c>
      <c r="C15" s="122" t="s">
        <v>290</v>
      </c>
      <c r="D15" s="9">
        <v>409065</v>
      </c>
      <c r="E15" s="9">
        <f t="shared" si="0"/>
        <v>5454.2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1" t="s">
        <v>292</v>
      </c>
      <c r="C16" s="122" t="s">
        <v>290</v>
      </c>
      <c r="D16" s="9">
        <v>818129</v>
      </c>
      <c r="E16" s="9">
        <f t="shared" si="0"/>
        <v>10908.386666666667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1" t="s">
        <v>293</v>
      </c>
      <c r="C17" s="122" t="s">
        <v>294</v>
      </c>
      <c r="D17" s="9">
        <v>3354508</v>
      </c>
      <c r="E17" s="9">
        <f t="shared" si="0"/>
        <v>67090.16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1" t="s">
        <v>295</v>
      </c>
      <c r="C18" s="122" t="s">
        <v>290</v>
      </c>
      <c r="D18" s="9">
        <v>380071</v>
      </c>
      <c r="E18" s="9">
        <f t="shared" si="0"/>
        <v>5067.6133333333337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1" t="s">
        <v>289</v>
      </c>
      <c r="C19" s="122" t="s">
        <v>290</v>
      </c>
      <c r="D19" s="9">
        <v>71467</v>
      </c>
      <c r="E19" s="9">
        <f t="shared" si="0"/>
        <v>952.89333333333332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1" t="s">
        <v>291</v>
      </c>
      <c r="C20" s="122" t="s">
        <v>290</v>
      </c>
      <c r="D20" s="9">
        <v>30729</v>
      </c>
      <c r="E20" s="9">
        <f t="shared" si="0"/>
        <v>409.72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1" t="s">
        <v>292</v>
      </c>
      <c r="C21" s="122" t="s">
        <v>290</v>
      </c>
      <c r="D21" s="9">
        <v>69600</v>
      </c>
      <c r="E21" s="9">
        <f t="shared" si="0"/>
        <v>928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51" t="s">
        <v>296</v>
      </c>
      <c r="C22" s="122" t="s">
        <v>290</v>
      </c>
      <c r="D22" s="9">
        <v>200289</v>
      </c>
      <c r="E22" s="9">
        <f t="shared" si="0"/>
        <v>2670.52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51" t="s">
        <v>289</v>
      </c>
      <c r="C23" s="122" t="s">
        <v>290</v>
      </c>
      <c r="D23" s="9">
        <v>10147919</v>
      </c>
      <c r="E23" s="9">
        <f t="shared" si="0"/>
        <v>135305.58666666667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51" t="s">
        <v>291</v>
      </c>
      <c r="C24" s="122" t="s">
        <v>290</v>
      </c>
      <c r="D24" s="9">
        <v>12145209</v>
      </c>
      <c r="E24" s="9">
        <f t="shared" si="0"/>
        <v>161936.12</v>
      </c>
      <c r="F24" s="9">
        <v>0</v>
      </c>
      <c r="G24" s="9">
        <v>0</v>
      </c>
      <c r="H24" s="14" t="s">
        <v>3</v>
      </c>
      <c r="I24" s="1"/>
    </row>
    <row r="25" spans="1:9" x14ac:dyDescent="0.25">
      <c r="A25" s="1"/>
      <c r="B25" s="51" t="s">
        <v>292</v>
      </c>
      <c r="C25" s="122" t="s">
        <v>290</v>
      </c>
      <c r="D25" s="9">
        <v>47351649</v>
      </c>
      <c r="E25" s="9">
        <f t="shared" si="0"/>
        <v>631355.31999999995</v>
      </c>
      <c r="F25" s="9">
        <v>0</v>
      </c>
      <c r="G25" s="9">
        <v>792000</v>
      </c>
      <c r="H25" s="14" t="s">
        <v>3</v>
      </c>
      <c r="I25" s="1"/>
    </row>
    <row r="26" spans="1:9" ht="26.25" x14ac:dyDescent="0.25">
      <c r="A26" s="1"/>
      <c r="B26" s="51" t="s">
        <v>297</v>
      </c>
      <c r="C26" s="122" t="s">
        <v>284</v>
      </c>
      <c r="D26" s="9">
        <v>376364</v>
      </c>
      <c r="E26" s="9">
        <f t="shared" si="0"/>
        <v>37636.400000000001</v>
      </c>
      <c r="F26" s="9">
        <v>0</v>
      </c>
      <c r="G26" s="9">
        <v>0</v>
      </c>
      <c r="H26" s="14" t="s">
        <v>3</v>
      </c>
      <c r="I26" s="1"/>
    </row>
    <row r="27" spans="1:9" ht="26.25" x14ac:dyDescent="0.25">
      <c r="A27" s="1"/>
      <c r="B27" s="51" t="s">
        <v>298</v>
      </c>
      <c r="C27" s="122" t="s">
        <v>286</v>
      </c>
      <c r="D27" s="9">
        <v>5269849</v>
      </c>
      <c r="E27" s="9">
        <f t="shared" si="0"/>
        <v>263492.45</v>
      </c>
      <c r="F27" s="9">
        <v>0</v>
      </c>
      <c r="G27" s="9">
        <v>0</v>
      </c>
      <c r="H27" s="14" t="s">
        <v>3</v>
      </c>
      <c r="I27" s="1"/>
    </row>
    <row r="28" spans="1:9" ht="39" x14ac:dyDescent="0.25">
      <c r="A28" s="1"/>
      <c r="B28" s="51" t="s">
        <v>299</v>
      </c>
      <c r="C28" s="122" t="s">
        <v>286</v>
      </c>
      <c r="D28" s="9">
        <v>114140</v>
      </c>
      <c r="E28" s="9">
        <f t="shared" si="0"/>
        <v>5707</v>
      </c>
      <c r="F28" s="9">
        <v>0</v>
      </c>
      <c r="G28" s="9">
        <v>0</v>
      </c>
      <c r="H28" s="14" t="s">
        <v>3</v>
      </c>
      <c r="I28" s="1"/>
    </row>
    <row r="29" spans="1:9" ht="26.25" x14ac:dyDescent="0.25">
      <c r="A29" s="1"/>
      <c r="B29" s="51" t="s">
        <v>300</v>
      </c>
      <c r="C29" s="122" t="s">
        <v>294</v>
      </c>
      <c r="D29" s="9">
        <v>9354474</v>
      </c>
      <c r="E29" s="9">
        <f t="shared" si="0"/>
        <v>187089.48</v>
      </c>
      <c r="F29" s="9">
        <v>0</v>
      </c>
      <c r="G29" s="9">
        <v>0</v>
      </c>
      <c r="H29" s="14" t="s">
        <v>3</v>
      </c>
      <c r="I29" s="1"/>
    </row>
    <row r="30" spans="1:9" x14ac:dyDescent="0.25">
      <c r="A30" s="1"/>
      <c r="B30" s="51" t="s">
        <v>301</v>
      </c>
      <c r="C30" s="122" t="s">
        <v>284</v>
      </c>
      <c r="D30" s="9">
        <v>139501</v>
      </c>
      <c r="E30" s="9">
        <f t="shared" si="0"/>
        <v>13950.1</v>
      </c>
      <c r="F30" s="9">
        <v>0</v>
      </c>
      <c r="G30" s="9">
        <v>0</v>
      </c>
      <c r="H30" s="14" t="s">
        <v>3</v>
      </c>
      <c r="I30" s="1"/>
    </row>
    <row r="31" spans="1:9" x14ac:dyDescent="0.25">
      <c r="A31" s="1"/>
      <c r="B31" s="51" t="s">
        <v>302</v>
      </c>
      <c r="C31" s="122" t="s">
        <v>286</v>
      </c>
      <c r="D31" s="9">
        <v>2759128</v>
      </c>
      <c r="E31" s="9">
        <f t="shared" si="0"/>
        <v>137956.4</v>
      </c>
      <c r="F31" s="9">
        <v>0</v>
      </c>
      <c r="G31" s="9">
        <v>0</v>
      </c>
      <c r="H31" s="14" t="s">
        <v>3</v>
      </c>
      <c r="I31" s="1"/>
    </row>
    <row r="32" spans="1:9" x14ac:dyDescent="0.25">
      <c r="A32" s="1"/>
      <c r="B32" s="51" t="s">
        <v>303</v>
      </c>
      <c r="C32" s="122" t="s">
        <v>288</v>
      </c>
      <c r="D32" s="9">
        <v>21239761</v>
      </c>
      <c r="E32" s="9">
        <f t="shared" si="0"/>
        <v>353996.01666666666</v>
      </c>
      <c r="F32" s="9">
        <v>0</v>
      </c>
      <c r="G32" s="9">
        <v>0</v>
      </c>
      <c r="H32" s="14" t="s">
        <v>3</v>
      </c>
      <c r="I32" s="1"/>
    </row>
    <row r="33" spans="1:9" x14ac:dyDescent="0.25">
      <c r="A33" s="1"/>
      <c r="B33" s="51" t="s">
        <v>283</v>
      </c>
      <c r="C33" s="122" t="s">
        <v>284</v>
      </c>
      <c r="D33" s="9">
        <v>746863</v>
      </c>
      <c r="E33" s="9">
        <f t="shared" si="0"/>
        <v>74686.3</v>
      </c>
      <c r="F33" s="9">
        <v>0</v>
      </c>
      <c r="G33" s="9">
        <v>0</v>
      </c>
      <c r="H33" s="14" t="s">
        <v>3</v>
      </c>
      <c r="I33" s="1"/>
    </row>
    <row r="34" spans="1:9" x14ac:dyDescent="0.25">
      <c r="A34" s="1"/>
      <c r="B34" s="51" t="s">
        <v>285</v>
      </c>
      <c r="C34" s="122" t="s">
        <v>286</v>
      </c>
      <c r="D34" s="9">
        <v>17047083</v>
      </c>
      <c r="E34" s="9">
        <f t="shared" si="0"/>
        <v>852354.15</v>
      </c>
      <c r="F34" s="9">
        <v>0</v>
      </c>
      <c r="G34" s="9">
        <v>0</v>
      </c>
      <c r="H34" s="14" t="s">
        <v>3</v>
      </c>
      <c r="I34" s="1"/>
    </row>
    <row r="35" spans="1:9" ht="26.25" x14ac:dyDescent="0.25">
      <c r="A35" s="1"/>
      <c r="B35" s="51" t="s">
        <v>287</v>
      </c>
      <c r="C35" s="122" t="s">
        <v>288</v>
      </c>
      <c r="D35" s="9">
        <v>10259466</v>
      </c>
      <c r="E35" s="9">
        <f t="shared" si="0"/>
        <v>170991.1</v>
      </c>
      <c r="F35" s="9">
        <v>0</v>
      </c>
      <c r="G35" s="9">
        <v>0</v>
      </c>
      <c r="H35" s="14" t="s">
        <v>3</v>
      </c>
      <c r="I35" s="1"/>
    </row>
    <row r="36" spans="1:9" x14ac:dyDescent="0.25">
      <c r="A36" s="1"/>
      <c r="B36" s="51" t="s">
        <v>289</v>
      </c>
      <c r="C36" s="122" t="s">
        <v>290</v>
      </c>
      <c r="D36" s="9">
        <v>1186073</v>
      </c>
      <c r="E36" s="9">
        <f t="shared" si="0"/>
        <v>15814.306666666667</v>
      </c>
      <c r="F36" s="9">
        <v>0</v>
      </c>
      <c r="G36" s="9">
        <v>0</v>
      </c>
      <c r="H36" s="14" t="s">
        <v>3</v>
      </c>
      <c r="I36" s="1"/>
    </row>
    <row r="37" spans="1:9" x14ac:dyDescent="0.25">
      <c r="A37" s="1"/>
      <c r="B37" s="51" t="s">
        <v>291</v>
      </c>
      <c r="C37" s="122" t="s">
        <v>290</v>
      </c>
      <c r="D37" s="9">
        <v>1049304</v>
      </c>
      <c r="E37" s="9">
        <f t="shared" si="0"/>
        <v>13990.72</v>
      </c>
      <c r="F37" s="9">
        <v>0</v>
      </c>
      <c r="G37" s="9">
        <v>0</v>
      </c>
      <c r="H37" s="14" t="s">
        <v>3</v>
      </c>
      <c r="I37" s="1"/>
    </row>
    <row r="38" spans="1:9" x14ac:dyDescent="0.25">
      <c r="A38" s="1"/>
      <c r="B38" s="51" t="s">
        <v>292</v>
      </c>
      <c r="C38" s="122" t="s">
        <v>290</v>
      </c>
      <c r="D38" s="9">
        <v>1010312</v>
      </c>
      <c r="E38" s="9">
        <f t="shared" si="0"/>
        <v>13470.826666666666</v>
      </c>
      <c r="F38" s="9">
        <v>0</v>
      </c>
      <c r="G38" s="9">
        <v>0</v>
      </c>
      <c r="H38" s="14" t="s">
        <v>3</v>
      </c>
      <c r="I38" s="1"/>
    </row>
    <row r="39" spans="1:9" ht="26.25" x14ac:dyDescent="0.25">
      <c r="A39" s="1"/>
      <c r="B39" s="51" t="s">
        <v>296</v>
      </c>
      <c r="C39" s="122" t="s">
        <v>290</v>
      </c>
      <c r="D39" s="9">
        <v>4159022</v>
      </c>
      <c r="E39" s="9">
        <f t="shared" si="0"/>
        <v>55453.626666666663</v>
      </c>
      <c r="F39" s="9">
        <v>0</v>
      </c>
      <c r="G39" s="9">
        <v>0</v>
      </c>
      <c r="H39" s="14" t="s">
        <v>3</v>
      </c>
      <c r="I39" s="1"/>
    </row>
    <row r="40" spans="1:9" ht="26.25" x14ac:dyDescent="0.25">
      <c r="A40" s="1"/>
      <c r="B40" s="51" t="s">
        <v>304</v>
      </c>
      <c r="C40" s="122" t="s">
        <v>290</v>
      </c>
      <c r="D40" s="9">
        <v>749591</v>
      </c>
      <c r="E40" s="9">
        <f t="shared" si="0"/>
        <v>9994.5466666666671</v>
      </c>
      <c r="F40" s="9">
        <v>0</v>
      </c>
      <c r="G40" s="9">
        <v>0</v>
      </c>
      <c r="H40" s="14" t="s">
        <v>3</v>
      </c>
      <c r="I40" s="1"/>
    </row>
    <row r="41" spans="1:9" x14ac:dyDescent="0.25">
      <c r="A41" s="1"/>
      <c r="B41" s="51" t="s">
        <v>289</v>
      </c>
      <c r="C41" s="122" t="s">
        <v>290</v>
      </c>
      <c r="D41" s="9">
        <v>1733906</v>
      </c>
      <c r="E41" s="9">
        <f t="shared" si="0"/>
        <v>23118.746666666666</v>
      </c>
      <c r="F41" s="9">
        <v>0</v>
      </c>
      <c r="G41" s="9">
        <v>0</v>
      </c>
      <c r="H41" s="14" t="s">
        <v>3</v>
      </c>
      <c r="I41" s="1"/>
    </row>
    <row r="42" spans="1:9" x14ac:dyDescent="0.25">
      <c r="A42" s="1"/>
      <c r="B42" s="51" t="s">
        <v>291</v>
      </c>
      <c r="C42" s="122" t="s">
        <v>290</v>
      </c>
      <c r="D42" s="9">
        <v>1458467</v>
      </c>
      <c r="E42" s="9">
        <f t="shared" si="0"/>
        <v>19446.226666666666</v>
      </c>
      <c r="F42" s="9">
        <v>0</v>
      </c>
      <c r="G42" s="9">
        <v>0</v>
      </c>
      <c r="H42" s="14" t="s">
        <v>3</v>
      </c>
      <c r="I42" s="1"/>
    </row>
    <row r="43" spans="1:9" x14ac:dyDescent="0.25">
      <c r="A43" s="1"/>
      <c r="B43" s="51" t="s">
        <v>292</v>
      </c>
      <c r="C43" s="122" t="s">
        <v>290</v>
      </c>
      <c r="D43" s="9">
        <v>1654542</v>
      </c>
      <c r="E43" s="9">
        <f t="shared" si="0"/>
        <v>22060.560000000001</v>
      </c>
      <c r="F43" s="9">
        <v>0</v>
      </c>
      <c r="G43" s="9">
        <v>0</v>
      </c>
      <c r="H43" s="14" t="s">
        <v>3</v>
      </c>
      <c r="I43" s="1"/>
    </row>
    <row r="44" spans="1:9" ht="26.25" x14ac:dyDescent="0.25">
      <c r="A44" s="1"/>
      <c r="B44" s="51" t="s">
        <v>296</v>
      </c>
      <c r="C44" s="122" t="s">
        <v>290</v>
      </c>
      <c r="D44" s="9">
        <v>3001792</v>
      </c>
      <c r="E44" s="9">
        <f t="shared" si="0"/>
        <v>40023.893333333333</v>
      </c>
      <c r="F44" s="9">
        <v>0</v>
      </c>
      <c r="G44" s="9">
        <v>0</v>
      </c>
      <c r="H44" s="14" t="s">
        <v>3</v>
      </c>
      <c r="I44" s="1"/>
    </row>
    <row r="45" spans="1:9" ht="26.25" x14ac:dyDescent="0.25">
      <c r="A45" s="1"/>
      <c r="B45" s="51" t="s">
        <v>304</v>
      </c>
      <c r="C45" s="122" t="s">
        <v>290</v>
      </c>
      <c r="D45" s="9">
        <v>490588</v>
      </c>
      <c r="E45" s="9">
        <f t="shared" si="0"/>
        <v>6541.1733333333332</v>
      </c>
      <c r="F45" s="9">
        <v>0</v>
      </c>
      <c r="G45" s="9">
        <v>0</v>
      </c>
      <c r="H45" s="14" t="s">
        <v>3</v>
      </c>
      <c r="I45" s="1"/>
    </row>
    <row r="46" spans="1:9" ht="26.25" x14ac:dyDescent="0.25">
      <c r="A46" s="1"/>
      <c r="B46" s="51" t="s">
        <v>305</v>
      </c>
      <c r="C46" s="122" t="s">
        <v>290</v>
      </c>
      <c r="D46" s="9">
        <v>438402</v>
      </c>
      <c r="E46" s="9">
        <f t="shared" si="0"/>
        <v>5845.36</v>
      </c>
      <c r="F46" s="9">
        <v>0</v>
      </c>
      <c r="G46" s="9">
        <v>0</v>
      </c>
      <c r="H46" s="14" t="s">
        <v>3</v>
      </c>
      <c r="I46" s="1"/>
    </row>
    <row r="47" spans="1:9" ht="26.25" x14ac:dyDescent="0.25">
      <c r="A47" s="1"/>
      <c r="B47" s="51" t="s">
        <v>306</v>
      </c>
      <c r="C47" s="122" t="s">
        <v>290</v>
      </c>
      <c r="D47" s="9">
        <v>8775492</v>
      </c>
      <c r="E47" s="9">
        <f t="shared" si="0"/>
        <v>117006.56</v>
      </c>
      <c r="F47" s="9">
        <v>0</v>
      </c>
      <c r="G47" s="9">
        <v>0</v>
      </c>
      <c r="H47" s="14" t="s">
        <v>3</v>
      </c>
      <c r="I47" s="1"/>
    </row>
    <row r="48" spans="1:9" x14ac:dyDescent="0.25">
      <c r="A48" s="1"/>
      <c r="B48" s="51" t="s">
        <v>293</v>
      </c>
      <c r="C48" s="122" t="s">
        <v>294</v>
      </c>
      <c r="D48" s="9">
        <v>598337</v>
      </c>
      <c r="E48" s="9">
        <f t="shared" si="0"/>
        <v>11966.74</v>
      </c>
      <c r="F48" s="9">
        <v>0</v>
      </c>
      <c r="G48" s="9">
        <v>0</v>
      </c>
      <c r="H48" s="14" t="s">
        <v>3</v>
      </c>
      <c r="I48" s="1"/>
    </row>
    <row r="49" spans="1:9" x14ac:dyDescent="0.25">
      <c r="A49" s="1"/>
      <c r="B49" s="51" t="s">
        <v>295</v>
      </c>
      <c r="C49" s="122" t="s">
        <v>290</v>
      </c>
      <c r="D49" s="9">
        <v>80212</v>
      </c>
      <c r="E49" s="9">
        <f t="shared" ref="E49:E50" si="1">IFERROR(D49/C49,0)</f>
        <v>1069.4933333333333</v>
      </c>
      <c r="F49" s="9">
        <v>0</v>
      </c>
      <c r="G49" s="9">
        <v>0</v>
      </c>
      <c r="H49" s="14" t="s">
        <v>3</v>
      </c>
      <c r="I49" s="1"/>
    </row>
    <row r="50" spans="1:9" ht="26.25" x14ac:dyDescent="0.25">
      <c r="A50" s="1"/>
      <c r="B50" s="51" t="s">
        <v>307</v>
      </c>
      <c r="C50" s="122" t="s">
        <v>294</v>
      </c>
      <c r="D50" s="9">
        <v>299</v>
      </c>
      <c r="E50" s="9">
        <f t="shared" si="1"/>
        <v>5.98</v>
      </c>
      <c r="F50" s="9">
        <v>0</v>
      </c>
      <c r="G50" s="9">
        <v>0</v>
      </c>
      <c r="H50" s="14" t="s">
        <v>3</v>
      </c>
      <c r="I50" s="1"/>
    </row>
    <row r="51" spans="1:9" x14ac:dyDescent="0.25">
      <c r="A51" s="1"/>
      <c r="B51" s="102" t="s">
        <v>237</v>
      </c>
      <c r="C51" s="103"/>
      <c r="D51" s="104"/>
      <c r="E51" s="12">
        <f>SUM(E10:E50)</f>
        <v>3982340.063333333</v>
      </c>
      <c r="F51" s="12">
        <f t="shared" ref="F51:G51" si="2">SUM(F10:F50)</f>
        <v>0</v>
      </c>
      <c r="G51" s="12">
        <f t="shared" si="2"/>
        <v>792000</v>
      </c>
      <c r="H51" s="13" t="s">
        <v>3</v>
      </c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</sheetData>
  <sheetProtection algorithmName="SHA-512" hashValue="SBBtoOjkZQq9z1qagnB3qK5+otIf8tB5wVoMZdiGKArzFtsqNdEqnbVZz1wWULJYDSzs+vkmPHP4iaD1tTSTVw==" saltValue="cdTTGtAkGSin3YPtcUwj2Q==" spinCount="100000" sheet="1" objects="1" scenarios="1"/>
  <mergeCells count="3">
    <mergeCell ref="B3:H4"/>
    <mergeCell ref="B51:D5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Anlægsprojekter'!F51</f>
        <v>0</v>
      </c>
      <c r="D10" s="14" t="s">
        <v>3</v>
      </c>
      <c r="E10" s="9">
        <f>SUM('Fane 9. Anlægsprojekter'!E51,'Fane 9. Anlægsprojekter'!G51)</f>
        <v>4774340.0633333325</v>
      </c>
      <c r="F10" s="14" t="s">
        <v>3</v>
      </c>
      <c r="G10" s="1"/>
    </row>
    <row r="11" spans="1:7" x14ac:dyDescent="0.25">
      <c r="A11" s="1"/>
      <c r="B11" s="123" t="s">
        <v>272</v>
      </c>
      <c r="C11" s="22">
        <v>0</v>
      </c>
      <c r="D11" s="14" t="s">
        <v>3</v>
      </c>
      <c r="E11" s="9">
        <v>2416678</v>
      </c>
      <c r="F11" s="14" t="s">
        <v>3</v>
      </c>
      <c r="G11" s="1"/>
    </row>
    <row r="12" spans="1:7" x14ac:dyDescent="0.25">
      <c r="A12" s="1"/>
      <c r="B12" s="25" t="s">
        <v>273</v>
      </c>
      <c r="C12" s="22">
        <v>3925161</v>
      </c>
      <c r="D12" s="14" t="s">
        <v>3</v>
      </c>
      <c r="E12" s="9">
        <v>1077552</v>
      </c>
      <c r="F12" s="14" t="s">
        <v>3</v>
      </c>
      <c r="G12" s="1"/>
    </row>
    <row r="13" spans="1:7" x14ac:dyDescent="0.25">
      <c r="A13" s="1"/>
      <c r="B13" s="37" t="s">
        <v>49</v>
      </c>
      <c r="C13" s="12">
        <f>SUM(C10:C12)</f>
        <v>3925161</v>
      </c>
      <c r="D13" s="13" t="s">
        <v>3</v>
      </c>
      <c r="E13" s="12">
        <f>SUM(E10:E12)</f>
        <v>8268570.0633333325</v>
      </c>
      <c r="F13" s="13" t="s">
        <v>3</v>
      </c>
      <c r="G13" s="1"/>
    </row>
    <row r="14" spans="1:7" x14ac:dyDescent="0.25">
      <c r="A14" s="1"/>
      <c r="B14" s="37" t="s">
        <v>215</v>
      </c>
      <c r="C14" s="12">
        <f>C13*(1+'Fane 14. Nøgletal'!C13)</f>
        <v>3973047.9641999998</v>
      </c>
      <c r="D14" s="13" t="s">
        <v>3</v>
      </c>
      <c r="E14" s="12">
        <f>E13*(1+'Fane 14. Nøgletal'!C13)</f>
        <v>8369446.6181059992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8i4+jRUXSwj8pKiP1dMiBYVfC5+cQ+cXkCQUhcGilO42to0dCa8c/Kubzmi9aBFgd6yOMBnH5I9Dmm30tuCxg==" saltValue="jTaX2IS7Utb+F45vwIqY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136</v>
      </c>
      <c r="C8" s="103"/>
      <c r="D8" s="103"/>
      <c r="E8" s="103"/>
      <c r="F8" s="104"/>
      <c r="G8" s="1"/>
    </row>
    <row r="9" spans="1:7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2" t="s">
        <v>137</v>
      </c>
      <c r="C16" s="103"/>
      <c r="D16" s="103"/>
      <c r="E16" s="103"/>
      <c r="F16" s="104"/>
      <c r="G16" s="1"/>
    </row>
    <row r="17" spans="1:7" x14ac:dyDescent="0.25">
      <c r="A17" s="1"/>
      <c r="B17" s="43" t="s">
        <v>18</v>
      </c>
      <c r="C17" s="43" t="s">
        <v>12</v>
      </c>
      <c r="D17" s="44"/>
      <c r="E17" s="43" t="s">
        <v>36</v>
      </c>
      <c r="F17" s="53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2" t="s">
        <v>138</v>
      </c>
      <c r="C24" s="103"/>
      <c r="D24" s="103"/>
      <c r="E24" s="103"/>
      <c r="F24" s="104"/>
      <c r="G24" s="1"/>
    </row>
    <row r="25" spans="1:7" x14ac:dyDescent="0.25">
      <c r="A25" s="1"/>
      <c r="B25" s="43" t="s">
        <v>18</v>
      </c>
      <c r="C25" s="43" t="s">
        <v>12</v>
      </c>
      <c r="D25" s="44"/>
      <c r="E25" s="43" t="s">
        <v>36</v>
      </c>
      <c r="F25" s="53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218</v>
      </c>
      <c r="C32" s="103"/>
      <c r="D32" s="103"/>
      <c r="E32" s="103"/>
      <c r="F32" s="104"/>
      <c r="G32" s="1"/>
    </row>
    <row r="33" spans="1:7" x14ac:dyDescent="0.25">
      <c r="A33" s="1"/>
      <c r="B33" s="43" t="s">
        <v>18</v>
      </c>
      <c r="C33" s="43" t="s">
        <v>12</v>
      </c>
      <c r="D33" s="44"/>
      <c r="E33" s="43" t="s">
        <v>36</v>
      </c>
      <c r="F33" s="53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NvI3TQZgxeC9cVwHQpTshq7gx2/XtuuFJzC7QppD8OCHF+H3Ai2M1alD6v3fkLuSHoolGF0Neg+DYfoV01UjA==" saltValue="qUvqGcgWhuyDkUgEI3mRj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175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123</v>
      </c>
      <c r="C8" s="103"/>
      <c r="D8" s="103"/>
      <c r="E8" s="103"/>
      <c r="F8" s="104"/>
      <c r="G8" s="1"/>
    </row>
    <row r="9" spans="1:7" x14ac:dyDescent="0.2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9" t="s">
        <v>29</v>
      </c>
      <c r="C11" s="90"/>
      <c r="D11" s="91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102" t="s">
        <v>126</v>
      </c>
      <c r="C12" s="103"/>
      <c r="D12" s="104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124</v>
      </c>
      <c r="C14" s="103"/>
      <c r="D14" s="103"/>
      <c r="E14" s="103"/>
      <c r="F14" s="104"/>
      <c r="G14" s="1"/>
    </row>
    <row r="15" spans="1:7" x14ac:dyDescent="0.2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9" t="s">
        <v>29</v>
      </c>
      <c r="C17" s="90"/>
      <c r="D17" s="91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102" t="s">
        <v>127</v>
      </c>
      <c r="C18" s="103"/>
      <c r="D18" s="104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125</v>
      </c>
      <c r="C20" s="103"/>
      <c r="D20" s="103"/>
      <c r="E20" s="103"/>
      <c r="F20" s="104"/>
      <c r="G20" s="1"/>
    </row>
    <row r="21" spans="1:7" x14ac:dyDescent="0.2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9" t="s">
        <v>29</v>
      </c>
      <c r="C23" s="90"/>
      <c r="D23" s="91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102" t="s">
        <v>128</v>
      </c>
      <c r="C24" s="103"/>
      <c r="D24" s="104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220</v>
      </c>
      <c r="C26" s="103"/>
      <c r="D26" s="103"/>
      <c r="E26" s="103"/>
      <c r="F26" s="104"/>
      <c r="G26" s="1"/>
    </row>
    <row r="27" spans="1:7" x14ac:dyDescent="0.2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9" t="s">
        <v>29</v>
      </c>
      <c r="C29" s="90"/>
      <c r="D29" s="91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102" t="s">
        <v>221</v>
      </c>
      <c r="C30" s="103"/>
      <c r="D30" s="104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223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224</v>
      </c>
      <c r="C9" s="77" t="s">
        <v>12</v>
      </c>
      <c r="D9" s="79"/>
      <c r="E9" s="120" t="s">
        <v>36</v>
      </c>
      <c r="F9" s="121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130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129</v>
      </c>
      <c r="C14" s="103"/>
      <c r="D14" s="103"/>
      <c r="E14" s="103"/>
      <c r="F14" s="104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131</v>
      </c>
      <c r="C20" s="103"/>
      <c r="D20" s="103"/>
      <c r="E20" s="103"/>
      <c r="F20" s="104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227</v>
      </c>
      <c r="C26" s="103"/>
      <c r="D26" s="103"/>
      <c r="E26" s="103"/>
      <c r="F26" s="104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265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0" t="s">
        <v>27</v>
      </c>
      <c r="C9" s="7">
        <f>'Fane 3. Omkostninger i ØR2020'!E22</f>
        <v>256865702.81912228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1592769.7885462958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2303904.686296002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2665079.807034852</v>
      </c>
      <c r="D13" s="8" t="s">
        <v>3</v>
      </c>
      <c r="E13" s="1"/>
    </row>
    <row r="14" spans="1:5" ht="17.100000000000001" customHeight="1" x14ac:dyDescent="0.25">
      <c r="A14" s="1"/>
      <c r="B14" s="42" t="s">
        <v>46</v>
      </c>
      <c r="C14" s="7">
        <f>'Fane 10.1. Varige tillæg'!C14</f>
        <v>3973047.9641999998</v>
      </c>
      <c r="D14" s="8" t="s">
        <v>3</v>
      </c>
      <c r="E14" s="1"/>
    </row>
    <row r="15" spans="1:5" ht="17.100000000000001" customHeight="1" x14ac:dyDescent="0.25">
      <c r="A15" s="1"/>
      <c r="B15" s="42" t="s">
        <v>47</v>
      </c>
      <c r="C15" s="9">
        <f>'Fane 10.1. Varige tillæg'!E14</f>
        <v>8369446.6181059992</v>
      </c>
      <c r="D15" s="8" t="s">
        <v>3</v>
      </c>
      <c r="E15" s="1"/>
    </row>
    <row r="16" spans="1:5" ht="17.100000000000001" customHeight="1" x14ac:dyDescent="0.25">
      <c r="A16" s="1"/>
      <c r="B16" s="42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2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2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2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2" t="s">
        <v>20</v>
      </c>
      <c r="C20" s="9">
        <f>(C9-SUM(C10:C13))*'Fane 14. Nøgletal'!C10+SUM(C10:C11)*'Fane 14. Nøgletal'!C11+SUM(C12:C13)*'Fane 14. Nøgletal'!C12+SUM(C14:C19)*'Fane 14. Nøgletal'!C13</f>
        <v>4649253.404129344</v>
      </c>
      <c r="D20" s="8" t="s">
        <v>3</v>
      </c>
      <c r="E20" s="1"/>
    </row>
    <row r="21" spans="1:5" ht="17.100000000000001" customHeight="1" x14ac:dyDescent="0.25">
      <c r="A21" s="1"/>
      <c r="B21" s="42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2" t="s">
        <v>29</v>
      </c>
      <c r="C22" s="9">
        <f>-'Fane 4.1. Gen. krav - drift'!G36</f>
        <v>-1854106.8607128151</v>
      </c>
      <c r="D22" s="8" t="s">
        <v>3</v>
      </c>
      <c r="E22" s="1"/>
    </row>
    <row r="23" spans="1:5" ht="15" customHeight="1" x14ac:dyDescent="0.25">
      <c r="A23" s="1"/>
      <c r="B23" s="42" t="s">
        <v>30</v>
      </c>
      <c r="C23" s="9">
        <f>-'Fane 4.2. Gen. krav - anlæg'!G35</f>
        <v>-3299981.2551252763</v>
      </c>
      <c r="D23" s="8" t="s">
        <v>3</v>
      </c>
      <c r="E23" s="1"/>
    </row>
    <row r="24" spans="1:5" ht="15" customHeight="1" x14ac:dyDescent="0.25">
      <c r="A24" s="1"/>
      <c r="B24" s="48" t="s">
        <v>22</v>
      </c>
      <c r="C24" s="10">
        <f>SUM(C9,C14:C23)</f>
        <v>268703362.6897195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omk.'!C17+'Fane 6. Ikke-påvirkelige omk.'!C21+'Fane 6. Ikke-påvirkelige omk.'!C29</f>
        <v>52986067.789273918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8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2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2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8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0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321689430.47899342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0" t="s">
        <v>28</v>
      </c>
      <c r="C9" s="7">
        <f>'Fane 2.1. Økonomisk ramme 2021'!C24</f>
        <v>268703362.6897195</v>
      </c>
      <c r="D9" s="8" t="s">
        <v>3</v>
      </c>
      <c r="E9" s="1"/>
    </row>
    <row r="10" spans="1:5" ht="15" customHeight="1" x14ac:dyDescent="0.25">
      <c r="A10" s="1"/>
      <c r="B10" s="42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2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3278181.0248145782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-1839192.425125241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-4954652.6335411239</v>
      </c>
      <c r="D15" s="8" t="s">
        <v>3</v>
      </c>
      <c r="E15" s="1"/>
    </row>
    <row r="16" spans="1:5" ht="15" customHeight="1" x14ac:dyDescent="0.25">
      <c r="A16" s="1"/>
      <c r="B16" s="45" t="s">
        <v>22</v>
      </c>
      <c r="C16" s="10">
        <f>SUM(C9:C15)</f>
        <v>265187698.65586773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omk.'!C17*(1+'Fane 14. Nøgletal'!C13)+'Fane 6. Ikke-påvirkelige omk.'!C22+'Fane 6. Ikke-påvirkelige omk.'!C30</f>
        <v>53632497.816303059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8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2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2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-7382155.5765157044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311438040.89565504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196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155</v>
      </c>
      <c r="C8" s="7">
        <f>'Fane 2.2. Økonomisk ramme 2022'!C16</f>
        <v>265187698.65586773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3235289.9236015864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-1824397.9612575334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-4877184.1622893913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261721406.45592239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omk.'!C17*(1+'Fane 14. Nøgletal'!C13)^2+'Fane 6. Ikke-påvirkelige omk.'!C23+'Fane 6. Ikke-påvirkelige omk.'!C31</f>
        <v>54286814.289661959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-7382155.5765157044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308626065.16906869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197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198</v>
      </c>
      <c r="C8" s="7">
        <f>'Fane 2.3. Økonomisk ramme 2023'!C15</f>
        <v>261721406.45592239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3193001.1587622534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-1809722.504057178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-4800926.9493199158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258303758.16130754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omk.'!C17*(1+'Fane 14. Nøgletal'!C13)^3+'Fane 6. Ikke-påvirkelige omk.'!C24+'Fane 6. Ikke-påvirkelige omk.'!C32</f>
        <v>54949113.423995838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313252871.58530337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93" t="s">
        <v>25</v>
      </c>
      <c r="C9" s="94"/>
      <c r="D9" s="95"/>
      <c r="E9" s="7">
        <v>254518824.72750637</v>
      </c>
      <c r="F9" s="8" t="s">
        <v>3</v>
      </c>
      <c r="G9" s="1"/>
    </row>
    <row r="10" spans="1:7" x14ac:dyDescent="0.25">
      <c r="A10" s="1"/>
      <c r="B10" s="89" t="s">
        <v>233</v>
      </c>
      <c r="C10" s="90"/>
      <c r="D10" s="91"/>
      <c r="E10" s="7">
        <v>1598264.6223178247</v>
      </c>
      <c r="F10" s="8" t="s">
        <v>3</v>
      </c>
      <c r="G10" s="1"/>
    </row>
    <row r="11" spans="1:7" x14ac:dyDescent="0.25">
      <c r="A11" s="1"/>
      <c r="B11" s="89" t="s">
        <v>234</v>
      </c>
      <c r="C11" s="90"/>
      <c r="D11" s="91"/>
      <c r="E11" s="7">
        <v>2285499.6263698349</v>
      </c>
      <c r="F11" s="8" t="s">
        <v>3</v>
      </c>
      <c r="G11" s="1"/>
    </row>
    <row r="12" spans="1:7" x14ac:dyDescent="0.25">
      <c r="A12" s="1"/>
      <c r="B12" s="80" t="s">
        <v>46</v>
      </c>
      <c r="C12" s="81"/>
      <c r="D12" s="82"/>
      <c r="E12" s="7">
        <v>0</v>
      </c>
      <c r="F12" s="8" t="s">
        <v>3</v>
      </c>
      <c r="G12" s="1"/>
    </row>
    <row r="13" spans="1:7" x14ac:dyDescent="0.25">
      <c r="A13" s="1"/>
      <c r="B13" s="80" t="s">
        <v>47</v>
      </c>
      <c r="C13" s="81"/>
      <c r="D13" s="82"/>
      <c r="E13" s="9">
        <v>2689987.69429038</v>
      </c>
      <c r="F13" s="8" t="s">
        <v>3</v>
      </c>
      <c r="G13" s="1"/>
    </row>
    <row r="14" spans="1:7" x14ac:dyDescent="0.25">
      <c r="A14" s="1"/>
      <c r="B14" s="80" t="s">
        <v>32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31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193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194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20</v>
      </c>
      <c r="C18" s="81"/>
      <c r="D18" s="82"/>
      <c r="E18" s="9">
        <f>(E9-SUM(E10:E11))*'Fane 14. Nøgletal'!C10+SUM(E10:E11)*'Fane 14. Nøgletal'!C11+SUM(E12:E17)*'Fane 14. Nøgletal'!C12</f>
        <v>4504741.9317596704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80" t="s">
        <v>29</v>
      </c>
      <c r="C20" s="81"/>
      <c r="D20" s="82"/>
      <c r="E20" s="9">
        <f>-'Fane 4.1. Gen. krav - drift'!G28</f>
        <v>-1778765.0714165501</v>
      </c>
      <c r="F20" s="8" t="s">
        <v>3</v>
      </c>
      <c r="G20" s="1"/>
    </row>
    <row r="21" spans="1:7" x14ac:dyDescent="0.25">
      <c r="A21" s="1"/>
      <c r="B21" s="80" t="s">
        <v>30</v>
      </c>
      <c r="C21" s="81"/>
      <c r="D21" s="82"/>
      <c r="E21" s="9">
        <f>-'Fane 4.2. Gen. krav - anlæg'!G27</f>
        <v>-3069086.4630175596</v>
      </c>
      <c r="F21" s="8" t="s">
        <v>3</v>
      </c>
      <c r="G21" s="1"/>
    </row>
    <row r="22" spans="1:7" x14ac:dyDescent="0.25">
      <c r="A22" s="1"/>
      <c r="B22" s="83" t="s">
        <v>22</v>
      </c>
      <c r="C22" s="84"/>
      <c r="D22" s="85"/>
      <c r="E22" s="10">
        <f>SUM(E9,E12:E21)</f>
        <v>256865702.81912228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77" t="s">
        <v>13</v>
      </c>
      <c r="C24" s="78"/>
      <c r="D24" s="79"/>
      <c r="E24" s="10">
        <v>22835426.753953442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86" t="s">
        <v>111</v>
      </c>
      <c r="C26" s="87"/>
      <c r="D26" s="88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9" t="s">
        <v>106</v>
      </c>
      <c r="C28" s="90"/>
      <c r="D28" s="91"/>
      <c r="E28" s="34">
        <v>0</v>
      </c>
      <c r="F28" s="8" t="s">
        <v>3</v>
      </c>
      <c r="G28" s="1"/>
    </row>
    <row r="29" spans="1:7" ht="15.75" customHeight="1" x14ac:dyDescent="0.25">
      <c r="A29" s="1"/>
      <c r="B29" s="89" t="s">
        <v>107</v>
      </c>
      <c r="C29" s="90"/>
      <c r="D29" s="91"/>
      <c r="E29" s="34">
        <v>0</v>
      </c>
      <c r="F29" s="8" t="s">
        <v>3</v>
      </c>
      <c r="G29" s="1"/>
    </row>
    <row r="30" spans="1:7" x14ac:dyDescent="0.25">
      <c r="A30" s="1"/>
      <c r="B30" s="48" t="s">
        <v>112</v>
      </c>
      <c r="C30" s="46"/>
      <c r="D30" s="47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77" t="s">
        <v>267</v>
      </c>
      <c r="C32" s="78"/>
      <c r="D32" s="79"/>
      <c r="E32" s="10">
        <v>3992873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77" t="s">
        <v>269</v>
      </c>
      <c r="C34" s="78"/>
      <c r="D34" s="79"/>
      <c r="E34" s="10">
        <v>0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283694002.57307571</v>
      </c>
      <c r="F35" s="13" t="s">
        <v>3</v>
      </c>
      <c r="G35" s="1"/>
    </row>
    <row r="36" spans="1:7" ht="26.85" customHeight="1" x14ac:dyDescent="0.25">
      <c r="A36" s="1"/>
      <c r="B36" s="74" t="s">
        <v>202</v>
      </c>
      <c r="C36" s="75"/>
      <c r="D36" s="75"/>
      <c r="E36" s="75"/>
      <c r="F36" s="7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:F4"/>
    <mergeCell ref="B9:D9"/>
    <mergeCell ref="B12:D12"/>
    <mergeCell ref="B13:D13"/>
    <mergeCell ref="B14:D14"/>
    <mergeCell ref="B10:D10"/>
    <mergeCell ref="B11:D11"/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2" t="s">
        <v>167</v>
      </c>
      <c r="C1" s="92"/>
      <c r="D1" s="92"/>
      <c r="E1" s="92"/>
      <c r="F1" s="92"/>
      <c r="G1" s="92"/>
      <c r="H1" s="92"/>
      <c r="I1" s="1"/>
    </row>
    <row r="2" spans="1:9" ht="15" customHeight="1" x14ac:dyDescent="0.25">
      <c r="A2" s="1"/>
      <c r="B2" s="92"/>
      <c r="C2" s="92"/>
      <c r="D2" s="92"/>
      <c r="E2" s="92"/>
      <c r="F2" s="92"/>
      <c r="G2" s="92"/>
      <c r="H2" s="92"/>
      <c r="I2" s="1"/>
    </row>
    <row r="3" spans="1:9" ht="1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25">
      <c r="A4" s="1"/>
      <c r="B4" s="102" t="s">
        <v>66</v>
      </c>
      <c r="C4" s="103"/>
      <c r="D4" s="103"/>
      <c r="E4" s="103"/>
      <c r="F4" s="103"/>
      <c r="G4" s="103"/>
      <c r="H4" s="104"/>
      <c r="I4" s="1"/>
    </row>
    <row r="5" spans="1:9" x14ac:dyDescent="0.25">
      <c r="A5" s="1"/>
      <c r="B5" s="99" t="s">
        <v>55</v>
      </c>
      <c r="C5" s="100"/>
      <c r="D5" s="100"/>
      <c r="E5" s="100"/>
      <c r="F5" s="101"/>
      <c r="G5" s="24">
        <v>86963494.691677257</v>
      </c>
      <c r="H5" s="14" t="s">
        <v>3</v>
      </c>
      <c r="I5" s="1"/>
    </row>
    <row r="6" spans="1:9" x14ac:dyDescent="0.25">
      <c r="A6" s="1"/>
      <c r="B6" s="74" t="s">
        <v>183</v>
      </c>
      <c r="C6" s="75"/>
      <c r="D6" s="75"/>
      <c r="E6" s="75"/>
      <c r="F6" s="76"/>
      <c r="G6" s="24">
        <v>0</v>
      </c>
      <c r="H6" s="14" t="s">
        <v>3</v>
      </c>
      <c r="I6" s="1"/>
    </row>
    <row r="7" spans="1:9" x14ac:dyDescent="0.25">
      <c r="A7" s="1"/>
      <c r="B7" s="99" t="s">
        <v>56</v>
      </c>
      <c r="C7" s="100"/>
      <c r="D7" s="100"/>
      <c r="E7" s="100"/>
      <c r="F7" s="101"/>
      <c r="G7" s="24">
        <f>SUM(G5:G6)*'Fane 14. Nøgletal'!C27</f>
        <v>1739269.8938335453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86715648.73180598</v>
      </c>
      <c r="H11" s="14" t="s">
        <v>3</v>
      </c>
      <c r="I11" s="1"/>
    </row>
    <row r="12" spans="1:9" x14ac:dyDescent="0.25">
      <c r="A12" s="1"/>
      <c r="B12" s="99" t="s">
        <v>185</v>
      </c>
      <c r="C12" s="100"/>
      <c r="D12" s="100"/>
      <c r="E12" s="100"/>
      <c r="F12" s="101"/>
      <c r="G12" s="24">
        <v>0</v>
      </c>
      <c r="H12" s="14" t="s">
        <v>3</v>
      </c>
      <c r="I12" s="1"/>
    </row>
    <row r="13" spans="1:9" x14ac:dyDescent="0.25">
      <c r="A13" s="1"/>
      <c r="B13" s="74" t="s">
        <v>182</v>
      </c>
      <c r="C13" s="75"/>
      <c r="D13" s="75"/>
      <c r="E13" s="75"/>
      <c r="F13" s="76"/>
      <c r="G13" s="24">
        <v>0</v>
      </c>
      <c r="H13" s="14" t="s">
        <v>3</v>
      </c>
      <c r="I13" s="1"/>
    </row>
    <row r="14" spans="1:9" x14ac:dyDescent="0.25">
      <c r="A14" s="1"/>
      <c r="B14" s="96" t="s">
        <v>58</v>
      </c>
      <c r="C14" s="97"/>
      <c r="D14" s="97"/>
      <c r="E14" s="97"/>
      <c r="F14" s="98"/>
      <c r="G14" s="24">
        <v>1097149.2335375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1756255.9593068697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2" t="s">
        <v>68</v>
      </c>
      <c r="C18" s="103"/>
      <c r="D18" s="103"/>
      <c r="E18" s="103"/>
      <c r="F18" s="103"/>
      <c r="G18" s="103"/>
      <c r="H18" s="104"/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87562531.491142258</v>
      </c>
      <c r="H19" s="14" t="s">
        <v>3</v>
      </c>
      <c r="I19" s="1"/>
    </row>
    <row r="20" spans="1:9" x14ac:dyDescent="0.25">
      <c r="A20" s="1"/>
      <c r="B20" s="96" t="s">
        <v>61</v>
      </c>
      <c r="C20" s="97"/>
      <c r="D20" s="97"/>
      <c r="E20" s="97"/>
      <c r="F20" s="98"/>
      <c r="G20" s="24">
        <v>1630882.2676712496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1783868.2751762699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2" t="s">
        <v>69</v>
      </c>
      <c r="C24" s="103"/>
      <c r="D24" s="103"/>
      <c r="E24" s="103"/>
      <c r="F24" s="103"/>
      <c r="G24" s="103"/>
      <c r="H24" s="104"/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88938253.570827499</v>
      </c>
      <c r="H25" s="14" t="s">
        <v>3</v>
      </c>
      <c r="I25" s="1"/>
    </row>
    <row r="26" spans="1:9" x14ac:dyDescent="0.25">
      <c r="A26" s="1"/>
      <c r="B26" s="105" t="s">
        <v>180</v>
      </c>
      <c r="C26" s="106"/>
      <c r="D26" s="106"/>
      <c r="E26" s="106"/>
      <c r="F26" s="107"/>
      <c r="G26" s="24">
        <f>G20*(1-'Fane 14. Nøgletal'!C27)*(1+'Fane 14. Nøgletal'!C11)</f>
        <v>1625275.2944349956</v>
      </c>
      <c r="H26" s="14" t="s">
        <v>3</v>
      </c>
      <c r="I26" s="1"/>
    </row>
    <row r="27" spans="1:9" x14ac:dyDescent="0.25">
      <c r="A27" s="1"/>
      <c r="B27" s="96" t="s">
        <v>64</v>
      </c>
      <c r="C27" s="97"/>
      <c r="D27" s="97"/>
      <c r="E27" s="97"/>
      <c r="F27" s="98"/>
      <c r="G27" s="24">
        <v>0</v>
      </c>
      <c r="H27" s="14" t="s">
        <v>3</v>
      </c>
      <c r="I27" s="1"/>
    </row>
    <row r="28" spans="1:9" x14ac:dyDescent="0.2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1778765.0714165501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2" t="s">
        <v>72</v>
      </c>
      <c r="C31" s="103"/>
      <c r="D31" s="103"/>
      <c r="E31" s="103"/>
      <c r="F31" s="103"/>
      <c r="G31" s="103"/>
      <c r="H31" s="104"/>
      <c r="I31" s="1"/>
    </row>
    <row r="32" spans="1:9" x14ac:dyDescent="0.2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88683823.886277512</v>
      </c>
      <c r="H32" s="14" t="s">
        <v>3</v>
      </c>
      <c r="I32" s="1"/>
    </row>
    <row r="33" spans="1:9" x14ac:dyDescent="0.25">
      <c r="A33" s="1"/>
      <c r="B33" s="105" t="s">
        <v>180</v>
      </c>
      <c r="C33" s="97"/>
      <c r="D33" s="97"/>
      <c r="E33" s="97"/>
      <c r="F33" s="98"/>
      <c r="G33" s="24">
        <f>G26*(1-'Fane 14. Nøgletal'!C27)*(1+'Fane 14. Nøgletal'!C11)</f>
        <v>1619687.5979727278</v>
      </c>
      <c r="H33" s="14" t="s">
        <v>3</v>
      </c>
      <c r="I33" s="1"/>
    </row>
    <row r="34" spans="1:9" x14ac:dyDescent="0.25">
      <c r="A34" s="1"/>
      <c r="B34" s="105" t="s">
        <v>181</v>
      </c>
      <c r="C34" s="97"/>
      <c r="D34" s="97"/>
      <c r="E34" s="97"/>
      <c r="F34" s="98"/>
      <c r="G34" s="24">
        <f>G27*(1-'Fane 14. Nøgletal'!C27)*(1+'Fane 14. Nøgletal'!C12)</f>
        <v>0</v>
      </c>
      <c r="H34" s="14" t="s">
        <v>3</v>
      </c>
      <c r="I34" s="1"/>
    </row>
    <row r="35" spans="1:9" x14ac:dyDescent="0.2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4021519.1493632398</v>
      </c>
      <c r="H35" s="14" t="s">
        <v>3</v>
      </c>
      <c r="I35" s="1"/>
    </row>
    <row r="36" spans="1:9" x14ac:dyDescent="0.2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1854106.8607128151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2" t="s">
        <v>99</v>
      </c>
      <c r="C39" s="103"/>
      <c r="D39" s="103"/>
      <c r="E39" s="103"/>
      <c r="F39" s="103"/>
      <c r="G39" s="103"/>
      <c r="H39" s="104"/>
      <c r="I39" s="1"/>
    </row>
    <row r="40" spans="1:9" x14ac:dyDescent="0.2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91959621.256262049</v>
      </c>
      <c r="H40" s="14" t="s">
        <v>3</v>
      </c>
      <c r="I40" s="1"/>
    </row>
    <row r="41" spans="1:9" x14ac:dyDescent="0.2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1839192.425125241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2" t="s">
        <v>100</v>
      </c>
      <c r="C45" s="103"/>
      <c r="D45" s="103"/>
      <c r="E45" s="103"/>
      <c r="F45" s="103"/>
      <c r="G45" s="103"/>
      <c r="H45" s="104"/>
      <c r="I45" s="1"/>
    </row>
    <row r="46" spans="1:9" x14ac:dyDescent="0.2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91219898.062876672</v>
      </c>
      <c r="H46" s="14" t="s">
        <v>3</v>
      </c>
      <c r="I46" s="1"/>
    </row>
    <row r="47" spans="1:9" x14ac:dyDescent="0.2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1824397.9612575334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102" t="s">
        <v>240</v>
      </c>
      <c r="C52" s="103"/>
      <c r="D52" s="103"/>
      <c r="E52" s="103"/>
      <c r="F52" s="103"/>
      <c r="G52" s="103"/>
      <c r="H52" s="104"/>
      <c r="I52" s="1"/>
    </row>
    <row r="53" spans="1:9" x14ac:dyDescent="0.2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90486125.202858895</v>
      </c>
      <c r="H53" s="14" t="s">
        <v>3</v>
      </c>
      <c r="I53" s="1"/>
    </row>
    <row r="54" spans="1:9" x14ac:dyDescent="0.2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1809722.504057178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1:H3"/>
    <mergeCell ref="B4:H4"/>
    <mergeCell ref="B5:F5"/>
    <mergeCell ref="B7:F7"/>
    <mergeCell ref="B11:F11"/>
    <mergeCell ref="B10:H10"/>
    <mergeCell ref="B6:F6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2.140625" style="2" customWidth="1"/>
    <col min="7" max="7" width="11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102" t="s">
        <v>70</v>
      </c>
      <c r="C5" s="103"/>
      <c r="D5" s="103"/>
      <c r="E5" s="103"/>
      <c r="F5" s="103"/>
      <c r="G5" s="103"/>
      <c r="H5" s="104"/>
      <c r="I5" s="1"/>
    </row>
    <row r="6" spans="1:9" x14ac:dyDescent="0.25">
      <c r="A6" s="1"/>
      <c r="B6" s="99" t="s">
        <v>77</v>
      </c>
      <c r="C6" s="100"/>
      <c r="D6" s="100"/>
      <c r="E6" s="100"/>
      <c r="F6" s="101"/>
      <c r="G6" s="24">
        <v>165644704.57019508</v>
      </c>
      <c r="H6" s="14" t="s">
        <v>3</v>
      </c>
      <c r="I6" s="1"/>
    </row>
    <row r="7" spans="1:9" x14ac:dyDescent="0.25">
      <c r="A7" s="1"/>
      <c r="B7" s="99" t="s">
        <v>71</v>
      </c>
      <c r="C7" s="100"/>
      <c r="D7" s="100"/>
      <c r="E7" s="100"/>
      <c r="F7" s="101"/>
      <c r="G7" s="24">
        <f>G6*'Fane 14. Nøgletal'!C18</f>
        <v>1507366.8115887754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78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167009741.16938195</v>
      </c>
      <c r="H11" s="14" t="s">
        <v>3</v>
      </c>
      <c r="I11" s="1"/>
    </row>
    <row r="12" spans="1:9" x14ac:dyDescent="0.25">
      <c r="A12" s="1"/>
      <c r="B12" s="99" t="s">
        <v>186</v>
      </c>
      <c r="C12" s="100"/>
      <c r="D12" s="100"/>
      <c r="E12" s="100"/>
      <c r="F12" s="101"/>
      <c r="G12" s="24">
        <v>1012696.7821860723</v>
      </c>
      <c r="H12" s="14" t="s">
        <v>3</v>
      </c>
      <c r="I12" s="1"/>
    </row>
    <row r="13" spans="1:9" x14ac:dyDescent="0.25">
      <c r="A13" s="1"/>
      <c r="B13" s="96" t="s">
        <v>80</v>
      </c>
      <c r="C13" s="97"/>
      <c r="D13" s="97"/>
      <c r="E13" s="97"/>
      <c r="F13" s="98"/>
      <c r="G13" s="24">
        <v>0</v>
      </c>
      <c r="H13" s="14" t="s">
        <v>3</v>
      </c>
      <c r="I13" s="1"/>
    </row>
    <row r="14" spans="1:9" x14ac:dyDescent="0.2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2973997.151742754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02" t="s">
        <v>82</v>
      </c>
      <c r="C17" s="103"/>
      <c r="D17" s="103"/>
      <c r="E17" s="103"/>
      <c r="F17" s="103"/>
      <c r="G17" s="103"/>
      <c r="H17" s="104"/>
      <c r="I17" s="1"/>
    </row>
    <row r="18" spans="1:9" x14ac:dyDescent="0.2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167936788.5138222</v>
      </c>
      <c r="H18" s="14" t="s">
        <v>3</v>
      </c>
      <c r="I18" s="1"/>
    </row>
    <row r="19" spans="1:9" x14ac:dyDescent="0.25">
      <c r="A19" s="1"/>
      <c r="B19" s="96" t="s">
        <v>84</v>
      </c>
      <c r="C19" s="97"/>
      <c r="D19" s="97"/>
      <c r="E19" s="97"/>
      <c r="F19" s="98"/>
      <c r="G19" s="24">
        <v>2305557.9808028196</v>
      </c>
      <c r="H19" s="14" t="s">
        <v>3</v>
      </c>
      <c r="I19" s="1"/>
    </row>
    <row r="20" spans="1:9" x14ac:dyDescent="0.2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2992539.5111276377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2" t="s">
        <v>86</v>
      </c>
      <c r="C23" s="103"/>
      <c r="D23" s="103"/>
      <c r="E23" s="103"/>
      <c r="F23" s="103"/>
      <c r="G23" s="103"/>
      <c r="H23" s="104"/>
      <c r="I23" s="1"/>
    </row>
    <row r="24" spans="1:9" x14ac:dyDescent="0.2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170175307.30593279</v>
      </c>
      <c r="H24" s="14" t="s">
        <v>3</v>
      </c>
      <c r="I24" s="1"/>
    </row>
    <row r="25" spans="1:9" x14ac:dyDescent="0.25">
      <c r="A25" s="1"/>
      <c r="B25" s="105" t="s">
        <v>177</v>
      </c>
      <c r="C25" s="97"/>
      <c r="D25" s="97"/>
      <c r="E25" s="97"/>
      <c r="F25" s="98"/>
      <c r="G25" s="24">
        <f>G19*(1-'Fane 14. Nøgletal'!C20)*(1+'Fane 14. Nøgletal'!C11)</f>
        <v>2324124.5700554848</v>
      </c>
      <c r="H25" s="14" t="s">
        <v>3</v>
      </c>
      <c r="I25" s="1"/>
    </row>
    <row r="26" spans="1:9" x14ac:dyDescent="0.25">
      <c r="A26" s="1"/>
      <c r="B26" s="96" t="s">
        <v>88</v>
      </c>
      <c r="C26" s="97"/>
      <c r="D26" s="97"/>
      <c r="E26" s="97"/>
      <c r="F26" s="98"/>
      <c r="G26" s="24">
        <v>2742980.4518679008</v>
      </c>
      <c r="H26" s="14" t="s">
        <v>3</v>
      </c>
      <c r="I26" s="1"/>
    </row>
    <row r="27" spans="1:9" x14ac:dyDescent="0.2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3069086.4630175596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2" t="s">
        <v>90</v>
      </c>
      <c r="C30" s="103"/>
      <c r="D30" s="103"/>
      <c r="E30" s="103"/>
      <c r="F30" s="103"/>
      <c r="G30" s="103"/>
      <c r="H30" s="104"/>
      <c r="I30" s="1"/>
    </row>
    <row r="31" spans="1:9" x14ac:dyDescent="0.2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172826043.15020555</v>
      </c>
      <c r="H31" s="14" t="s">
        <v>3</v>
      </c>
      <c r="I31" s="1"/>
    </row>
    <row r="32" spans="1:9" x14ac:dyDescent="0.25">
      <c r="A32" s="1"/>
      <c r="B32" s="105" t="s">
        <v>178</v>
      </c>
      <c r="C32" s="97"/>
      <c r="D32" s="97"/>
      <c r="E32" s="97"/>
      <c r="F32" s="98"/>
      <c r="G32" s="24">
        <f>G25*(1-'Fane 14. Nøgletal'!C20)*(1+'Fane 14. Nøgletal'!C11)</f>
        <v>2342840.675494404</v>
      </c>
      <c r="H32" s="14" t="s">
        <v>3</v>
      </c>
      <c r="I32" s="1"/>
    </row>
    <row r="33" spans="1:9" x14ac:dyDescent="0.25">
      <c r="A33" s="1"/>
      <c r="B33" s="105" t="s">
        <v>179</v>
      </c>
      <c r="C33" s="97"/>
      <c r="D33" s="97"/>
      <c r="E33" s="97"/>
      <c r="F33" s="98"/>
      <c r="G33" s="24">
        <f>G26*(1-'Fane 14. Nøgletal'!C21)*(1+'Fane 14. Nøgletal'!C12)</f>
        <v>2717581.879233439</v>
      </c>
      <c r="H33" s="14" t="s">
        <v>3</v>
      </c>
      <c r="I33" s="1"/>
    </row>
    <row r="34" spans="1:9" x14ac:dyDescent="0.2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8471553.866846893</v>
      </c>
      <c r="H34" s="14" t="s">
        <v>3</v>
      </c>
      <c r="I34" s="1"/>
    </row>
    <row r="35" spans="1:9" x14ac:dyDescent="0.2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3299981.2551252763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02" t="s">
        <v>101</v>
      </c>
      <c r="C38" s="103"/>
      <c r="D38" s="103"/>
      <c r="E38" s="103"/>
      <c r="F38" s="103"/>
      <c r="G38" s="103"/>
      <c r="H38" s="104"/>
      <c r="I38" s="1"/>
    </row>
    <row r="39" spans="1:9" x14ac:dyDescent="0.2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180169186.67422268</v>
      </c>
      <c r="H39" s="14" t="s">
        <v>3</v>
      </c>
      <c r="I39" s="1"/>
    </row>
    <row r="40" spans="1:9" x14ac:dyDescent="0.2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4954652.6335411239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2" t="s">
        <v>102</v>
      </c>
      <c r="C44" s="103"/>
      <c r="D44" s="103"/>
      <c r="E44" s="103"/>
      <c r="F44" s="103"/>
      <c r="G44" s="103"/>
      <c r="H44" s="104"/>
      <c r="I44" s="1"/>
    </row>
    <row r="45" spans="1:9" x14ac:dyDescent="0.2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177352151.35597786</v>
      </c>
      <c r="H45" s="14" t="s">
        <v>3</v>
      </c>
      <c r="I45" s="1"/>
    </row>
    <row r="46" spans="1:9" x14ac:dyDescent="0.2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4877184.1622893913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2" t="s">
        <v>245</v>
      </c>
      <c r="C51" s="103"/>
      <c r="D51" s="103"/>
      <c r="E51" s="103"/>
      <c r="F51" s="103"/>
      <c r="G51" s="103"/>
      <c r="H51" s="104"/>
      <c r="I51" s="1"/>
    </row>
    <row r="52" spans="1:9" x14ac:dyDescent="0.2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174579161.79345149</v>
      </c>
      <c r="H52" s="14" t="s">
        <v>3</v>
      </c>
      <c r="I52" s="1"/>
    </row>
    <row r="53" spans="1:9" x14ac:dyDescent="0.2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4800926.9493199158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zFqmJ3zG6YuG6vKaKlGhLD7p4llK4yhZ3Rb9nwG9YfSa2cydZ4DC26yYRnaGe/ddw41uF8qD3aqXHQ6n/dezcQ==" saltValue="7g+tOmIK1fbD5cOOd4aFQQ==" spinCount="100000" sheet="1" objects="1" scenarios="1"/>
  <mergeCells count="36"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  <mergeCell ref="B23:H23"/>
    <mergeCell ref="B17:H17"/>
    <mergeCell ref="B19:F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10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99" t="s">
        <v>103</v>
      </c>
      <c r="C9" s="100"/>
      <c r="D9" s="100"/>
      <c r="E9" s="100"/>
      <c r="F9" s="101"/>
      <c r="G9" s="23">
        <v>5.3906405258137308E-4</v>
      </c>
      <c r="H9" s="14"/>
      <c r="I9" s="1"/>
    </row>
    <row r="10" spans="1:9" x14ac:dyDescent="0.2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74" t="s">
        <v>152</v>
      </c>
      <c r="C12" s="75"/>
      <c r="D12" s="75"/>
      <c r="E12" s="75"/>
      <c r="F12" s="75"/>
      <c r="G12" s="75"/>
      <c r="H12" s="76"/>
      <c r="I12" s="1"/>
    </row>
    <row r="13" spans="1:9" ht="30.75" customHeight="1" x14ac:dyDescent="0.2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2020-09-14T11:14:04Z</dcterms:modified>
</cp:coreProperties>
</file>