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Novafos Vand Frederikssund AS (V058)\ØR2024\"/>
    </mc:Choice>
  </mc:AlternateContent>
  <xr:revisionPtr revIDLastSave="0" documentId="13_ncr:1_{D7B3ECB6-FF4F-4E2E-80E3-6A7DC0AB8CC2}"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7" i="15"/>
  <c r="C29" i="2"/>
  <c r="E23" i="41"/>
  <c r="E27" i="41" s="1"/>
  <c r="E31" i="41" l="1"/>
  <c r="E33" i="41" s="1"/>
  <c r="C8" i="2"/>
  <c r="C13" i="29" l="1"/>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<sst xmlns="http://schemas.openxmlformats.org/spreadsheetml/2006/main" count="550" uniqueCount="263">
  <si>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</si>
  <si>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</si>
  <si>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</si>
  <si>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</si>
  <si>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</si>
  <si>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</si>
  <si>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</si>
  <si>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</si>
  <si>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</si>
  <si>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</si>
  <si>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</si>
  <si>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</si>
  <si>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</si>
  <si>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</si>
  <si>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</si>
  <si>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</si>
  <si>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</si>
  <si>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</si>
  <si>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</si>
  <si>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</si>
  <si>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</si>
  <si>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</si>
  <si>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</si>
  <si>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</si>
  <si>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</si>
  <si>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</si>
  <si>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</si>
  <si>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</si>
  <si>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</si>
  <si>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</si>
  <si>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</si>
  <si>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</si>
  <si>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</si>
  <si>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</si>
  <si>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</si>
  <si>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</si>
  <si>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</si>
  <si>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</si>
  <si>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</si>
  <si>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</si>
  <si>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</si>
  <si>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</si>
  <si>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</si>
  <si>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</si>
  <si>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</si>
  <si>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</si>
  <si>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</si>
  <si>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</si>
  <si>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</si>
  <si>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</si>
  <si>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</si>
  <si>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</si>
  <si>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</si>
  <si>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</si>
  <si>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</si>
  <si>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</si>
  <si>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</si>
  <si>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</si>
  <si>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</si>
  <si>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</si>
  <si>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</si>
  <si>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</si>
  <si>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</si>
  <si>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</si>
  <si>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</si>
  <si>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</si>
  <si>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</si>
  <si>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</si>
  <si>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</si>
  <si>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</si>
  <si>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</si>
  <si>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</si>
  <si>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</si>
  <si>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</si>
  <si>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</si>
  <si>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</si>
  <si>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</si>
  <si>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</si>
  <si>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</si>
  <si>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</si>
  <si>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</si>
  <si>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</si>
  <si>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</si>
  <si>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</si>
  <si>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</si>
  <si>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</si>
  <si>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</si>
  <si>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</si>
  <si>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</si>
  <si>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</si>
  <si>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</si>
  <si>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</si>
  <si>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</si>
  <si>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</si>
  <si>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</si>
  <si>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</si>
  <si>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</si>
  <si>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</si>
  <si>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</si>
  <si>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</si>
  <si>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</si>
  <si>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</si>
  <si>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</si>
  <si>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</si>
  <si>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</si>
  <si>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</si>
  <si>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</si>
  <si>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</si>
  <si>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</si>
  <si>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</si>
  <si>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</si>
  <si>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</si>
  <si>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</si>
  <si>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</si>
  <si>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</si>
  <si>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</si>
  <si>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</si>
  <si>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</si>
  <si>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</si>
  <si>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</si>
  <si>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</si>
  <si>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</si>
  <si>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</si>
  <si>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</si>
  <si>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</si>
  <si>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</si>
  <si>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</si>
  <si>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</si>
  <si>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</si>
  <si>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</si>
  <si>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</si>
  <si>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</si>
  <si>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</si>
  <si>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</si>
  <si>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</si>
  <si>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</si>
  <si>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</si>
  <si>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</si>
  <si>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</si>
  <si>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</si>
  <si>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</si>
  <si>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</si>
  <si>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</si>
  <si>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</si>
  <si>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</si>
  <si>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</si>
  <si>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</si>
  <si>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</si>
  <si>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</si>
  <si>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</si>
  <si>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</si>
  <si>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</si>
  <si>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</si>
  <si>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</si>
  <si>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</si>
  <si>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</si>
  <si>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</si>
  <si>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</si>
  <si>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</si>
  <si>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</si>
  <si>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</si>
  <si>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</si>
  <si>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</si>
  <si>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</si>
  <si>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</si>
  <si>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</si>
  <si>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</si>
  <si>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</si>
  <si>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</si>
  <si>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</si>
  <si>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</si>
  <si>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</si>
  <si>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</si>
  <si>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</si>
  <si>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</si>
  <si>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</si>
  <si>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</si>
  <si>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</si>
  <si>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</si>
  <si>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</si>
  <si>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</si>
  <si>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</si>
  <si>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</si>
  <si>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</si>
  <si>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</si>
  <si>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</si>
  <si>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</si>
  <si>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</si>
  <si>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</si>
  <si>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</si>
  <si>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</si>
  <si>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</si>
  <si>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</si>
  <si>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</si>
  <si>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</si>
  <si>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</si>
  <si>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</si>
  <si>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</si>
  <si>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</si>
  <si>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</si>
  <si>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</si>
  <si>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</si>
  <si>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</si>
  <si>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</si>
  <si>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</si>
  <si>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</si>
  <si>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</si>
  <si>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</si>
  <si>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</si>
  <si>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</si>
  <si>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</si>
  <si>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</si>
  <si>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</si>
  <si>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</si>
  <si>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</si>
  <si>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</si>
  <si>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</si>
  <si>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</si>
  <si>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</si>
  <si>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</si>
  <si>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</si>
  <si>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</si>
  <si>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</si>
  <si>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</si>
  <si>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</si>
  <si>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</si>
  <si>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</si>
  <si>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</si>
  <si>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</si>
  <si>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</si>
  <si>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</si>
  <si>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</si>
  <si>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</si>
  <si>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</si>
  <si>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</si>
  <si>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</si>
  <si>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</si>
  <si>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</si>
  <si>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</si>
  <si>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</si>
  <si>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</si>
  <si>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</si>
  <si>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</si>
  <si>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Byggemodning Møllevej, Udvikling af Vinge by omkring Dalvejen samt enkeltstående vandstik</t>
  </si>
  <si>
    <t>Afgift for ledningsført vand</t>
  </si>
  <si>
    <t>Afgift til Forsyningssekretariatet</t>
  </si>
  <si>
    <t>Køb af ydelser og produkter fra andre vandselskaber reguleret af vandsektorloven</t>
  </si>
  <si>
    <t>Ejendomsskat</t>
  </si>
  <si>
    <t>Tjenestemandspensioner</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</si>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</sst>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235</v>
      </c>
      <c r="E8" s="90"/>
      <c r="F8" s="90"/>
      <c r="G8" s="90"/>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162</v>
      </c>
      <c r="E13" s="86"/>
      <c r="F13" s="86"/>
      <c r="G13" s="87"/>
      <c r="H13" s="1"/>
      <c r="I13" s="1"/>
    </row>
    <row r="14" spans="1:9" x14ac:dyDescent="0.25">
      <c r="A14" s="1"/>
      <c r="B14" s="1"/>
      <c r="C14" s="6" t="s">
        <v>14</v>
      </c>
      <c r="D14" s="85" t="s">
        <v>197</v>
      </c>
      <c r="E14" s="86"/>
      <c r="F14" s="86"/>
      <c r="G14" s="87"/>
      <c r="H14" s="1"/>
      <c r="I14" s="1"/>
    </row>
    <row r="15" spans="1:9" x14ac:dyDescent="0.25">
      <c r="A15" s="1"/>
      <c r="B15" s="1"/>
      <c r="C15" s="6" t="s">
        <v>30</v>
      </c>
      <c r="D15" s="85" t="s">
        <v>141</v>
      </c>
      <c r="E15" s="86"/>
      <c r="F15" s="86"/>
      <c r="G15" s="87"/>
      <c r="H15" s="1"/>
      <c r="I15" s="1"/>
    </row>
    <row r="16" spans="1:9" x14ac:dyDescent="0.25">
      <c r="A16" s="1"/>
      <c r="B16" s="1"/>
      <c r="C16" s="6" t="s">
        <v>31</v>
      </c>
      <c r="D16" s="85" t="s">
        <v>194</v>
      </c>
      <c r="E16" s="86"/>
      <c r="F16" s="86"/>
      <c r="G16" s="87"/>
      <c r="H16" s="1"/>
      <c r="I16" s="1"/>
    </row>
    <row r="17" spans="1:9" x14ac:dyDescent="0.25">
      <c r="A17" s="1"/>
      <c r="B17" s="1"/>
      <c r="C17" s="6" t="s">
        <v>102</v>
      </c>
      <c r="D17" s="85" t="s">
        <v>195</v>
      </c>
      <c r="E17" s="86"/>
      <c r="F17" s="86"/>
      <c r="G17" s="87"/>
      <c r="H17" s="1"/>
      <c r="I17" s="1"/>
    </row>
    <row r="18" spans="1:9" x14ac:dyDescent="0.25">
      <c r="A18" s="1"/>
      <c r="B18" s="1"/>
      <c r="C18" s="6" t="s">
        <v>86</v>
      </c>
      <c r="D18" s="91" t="s">
        <v>79</v>
      </c>
      <c r="E18" s="92"/>
      <c r="F18" s="92"/>
      <c r="G18" s="93"/>
      <c r="H18" s="1"/>
      <c r="I18" s="1"/>
    </row>
    <row r="19" spans="1:9" x14ac:dyDescent="0.25">
      <c r="A19" s="1"/>
      <c r="B19" s="1"/>
      <c r="C19" s="6" t="s">
        <v>87</v>
      </c>
      <c r="D19" s="91" t="s">
        <v>80</v>
      </c>
      <c r="E19" s="92"/>
      <c r="F19" s="92"/>
      <c r="G19" s="93"/>
      <c r="H19" s="1"/>
      <c r="I19" s="1"/>
    </row>
    <row r="20" spans="1:9" x14ac:dyDescent="0.25">
      <c r="A20" s="1"/>
      <c r="B20" s="1"/>
      <c r="C20" s="6" t="s">
        <v>7</v>
      </c>
      <c r="D20" s="91" t="s">
        <v>9</v>
      </c>
      <c r="E20" s="92"/>
      <c r="F20" s="92"/>
      <c r="G20" s="93"/>
      <c r="H20" s="1"/>
      <c r="I20" s="1"/>
    </row>
    <row r="21" spans="1:9" x14ac:dyDescent="0.25">
      <c r="A21" s="1"/>
      <c r="B21" s="1"/>
      <c r="C21" s="6" t="s">
        <v>88</v>
      </c>
      <c r="D21" s="82" t="s">
        <v>11</v>
      </c>
      <c r="E21" s="83"/>
      <c r="F21" s="83"/>
      <c r="G21" s="84"/>
      <c r="H21" s="1"/>
      <c r="I21" s="1"/>
    </row>
    <row r="22" spans="1:9" x14ac:dyDescent="0.25">
      <c r="A22" s="1"/>
      <c r="B22" s="1"/>
      <c r="C22" s="6" t="s">
        <v>73</v>
      </c>
      <c r="D22" s="76" t="s">
        <v>196</v>
      </c>
      <c r="E22" s="77"/>
      <c r="F22" s="77"/>
      <c r="G22" s="78"/>
      <c r="H22" s="1"/>
      <c r="I22" s="1"/>
    </row>
    <row r="23" spans="1:9" x14ac:dyDescent="0.25">
      <c r="A23" s="1"/>
      <c r="B23" s="1"/>
      <c r="C23" s="6" t="s">
        <v>8</v>
      </c>
      <c r="D23" s="76" t="s">
        <v>176</v>
      </c>
      <c r="E23" s="77"/>
      <c r="F23" s="77"/>
      <c r="G23" s="78"/>
      <c r="H23" s="1"/>
      <c r="I23" s="1"/>
    </row>
    <row r="24" spans="1:9" x14ac:dyDescent="0.25">
      <c r="A24" s="1"/>
      <c r="B24" s="1"/>
      <c r="C24" s="6" t="s">
        <v>172</v>
      </c>
      <c r="D24" s="76" t="s">
        <v>163</v>
      </c>
      <c r="E24" s="77"/>
      <c r="F24" s="77"/>
      <c r="G24" s="78"/>
      <c r="H24" s="1"/>
      <c r="I24" s="1"/>
    </row>
    <row r="25" spans="1:9" x14ac:dyDescent="0.25">
      <c r="A25" s="1"/>
      <c r="B25" s="1"/>
      <c r="C25" s="6" t="s">
        <v>173</v>
      </c>
      <c r="D25" s="76" t="s">
        <v>74</v>
      </c>
      <c r="E25" s="77"/>
      <c r="F25" s="77"/>
      <c r="G25" s="78"/>
      <c r="H25" s="1"/>
      <c r="I25" s="1"/>
    </row>
    <row r="26" spans="1:9" x14ac:dyDescent="0.25">
      <c r="A26" s="1"/>
      <c r="B26" s="1"/>
      <c r="C26" s="6" t="s">
        <v>174</v>
      </c>
      <c r="D26" s="76" t="s">
        <v>75</v>
      </c>
      <c r="E26" s="77"/>
      <c r="F26" s="77"/>
      <c r="G26" s="78"/>
      <c r="H26" s="1"/>
      <c r="I26" s="1"/>
    </row>
    <row r="27" spans="1:9" x14ac:dyDescent="0.25">
      <c r="A27" s="1"/>
      <c r="B27" s="1"/>
      <c r="C27" s="6" t="s">
        <v>89</v>
      </c>
      <c r="D27" s="76" t="s">
        <v>103</v>
      </c>
      <c r="E27" s="77"/>
      <c r="F27" s="77"/>
      <c r="G27" s="78"/>
      <c r="H27" s="1"/>
      <c r="I27" s="1"/>
    </row>
    <row r="28" spans="1:9" x14ac:dyDescent="0.25">
      <c r="A28" s="1"/>
      <c r="B28" s="1"/>
      <c r="C28" s="6" t="s">
        <v>83</v>
      </c>
      <c r="D28" s="76" t="s">
        <v>32</v>
      </c>
      <c r="E28" s="77"/>
      <c r="F28" s="77"/>
      <c r="G28" s="78"/>
      <c r="H28" s="1"/>
      <c r="I28" s="1"/>
    </row>
    <row r="29" spans="1:9" x14ac:dyDescent="0.25">
      <c r="A29" s="1"/>
      <c r="B29" s="1"/>
      <c r="C29" s="6" t="s">
        <v>175</v>
      </c>
      <c r="D29" s="79" t="s">
        <v>84</v>
      </c>
      <c r="E29" s="80"/>
      <c r="F29" s="80"/>
      <c r="G29" s="8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56ie1nuxmveaWMZGl9YidPZqgtR97sOC3a1A1HdDs3kdWBCiwy7XL8g3x3ZsnfwSaaCY921DPmxFrSCH5DSNeg==" saltValue="8TX7ar3sHihFYle+o8bwU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ht="9.9499999999999993" customHeight="1" x14ac:dyDescent="0.25">
      <c r="A6" s="1"/>
      <c r="B6" s="1"/>
      <c r="C6" s="1"/>
      <c r="D6" s="1"/>
      <c r="E6" s="1"/>
      <c r="F6" s="1"/>
    </row>
    <row r="7" spans="1:6" x14ac:dyDescent="0.25">
      <c r="A7" s="1"/>
      <c r="B7" s="1"/>
      <c r="C7" s="1"/>
      <c r="D7" s="1"/>
      <c r="E7" s="1"/>
      <c r="F7" s="1"/>
    </row>
    <row r="8" spans="1:6" x14ac:dyDescent="0.25">
      <c r="A8" s="1"/>
      <c r="B8" s="98" t="s">
        <v>226</v>
      </c>
      <c r="C8" s="99"/>
      <c r="D8" s="100"/>
      <c r="E8" s="1"/>
      <c r="F8" s="1"/>
    </row>
    <row r="9" spans="1:6" ht="15" customHeight="1" x14ac:dyDescent="0.25">
      <c r="A9" s="1"/>
      <c r="B9" s="32" t="s">
        <v>28</v>
      </c>
      <c r="C9" s="11" t="s">
        <v>212</v>
      </c>
      <c r="D9" s="11"/>
      <c r="E9" s="1"/>
      <c r="F9" s="1"/>
    </row>
    <row r="10" spans="1:6" ht="15" customHeight="1" x14ac:dyDescent="0.25">
      <c r="A10" s="1"/>
      <c r="B10" s="65" t="s">
        <v>244</v>
      </c>
      <c r="C10" s="9">
        <v>8652388</v>
      </c>
      <c r="D10" s="14" t="s">
        <v>3</v>
      </c>
      <c r="E10" s="1"/>
      <c r="F10" s="1"/>
    </row>
    <row r="11" spans="1:6" x14ac:dyDescent="0.25">
      <c r="A11" s="1"/>
      <c r="B11" s="65" t="s">
        <v>245</v>
      </c>
      <c r="C11" s="9">
        <v>81899</v>
      </c>
      <c r="D11" s="14" t="s">
        <v>3</v>
      </c>
      <c r="E11" s="1"/>
      <c r="F11" s="1"/>
    </row>
    <row r="12" spans="1:6" ht="26.25" x14ac:dyDescent="0.25">
      <c r="A12" s="1"/>
      <c r="B12" s="55" t="s">
        <v>246</v>
      </c>
      <c r="C12" s="9">
        <v>28678</v>
      </c>
      <c r="D12" s="14" t="s">
        <v>3</v>
      </c>
      <c r="E12" s="1"/>
      <c r="F12" s="1"/>
    </row>
    <row r="13" spans="1:6" x14ac:dyDescent="0.25">
      <c r="A13" s="1"/>
      <c r="B13" s="65" t="s">
        <v>247</v>
      </c>
      <c r="C13" s="9">
        <v>18762</v>
      </c>
      <c r="D13" s="14" t="s">
        <v>3</v>
      </c>
      <c r="E13" s="1"/>
      <c r="F13" s="1"/>
    </row>
    <row r="14" spans="1:6" x14ac:dyDescent="0.25">
      <c r="A14" s="1"/>
      <c r="B14" s="65" t="s">
        <v>248</v>
      </c>
      <c r="C14" s="9">
        <v>163048</v>
      </c>
      <c r="D14" s="14" t="s">
        <v>3</v>
      </c>
      <c r="E14" s="1"/>
      <c r="F14" s="1"/>
    </row>
    <row r="15" spans="1:6" x14ac:dyDescent="0.25">
      <c r="A15" s="1"/>
      <c r="B15" s="65"/>
      <c r="C15" s="9"/>
      <c r="D15" s="14" t="s">
        <v>3</v>
      </c>
      <c r="E15" s="1"/>
      <c r="F15" s="1"/>
    </row>
    <row r="16" spans="1:6" x14ac:dyDescent="0.25">
      <c r="A16" s="1"/>
      <c r="B16" s="65"/>
      <c r="C16" s="9"/>
      <c r="D16" s="14" t="s">
        <v>3</v>
      </c>
      <c r="E16" s="1"/>
      <c r="F16" s="1"/>
    </row>
    <row r="17" spans="1:6" x14ac:dyDescent="0.25">
      <c r="A17" s="1"/>
      <c r="B17" s="65"/>
      <c r="C17" s="9"/>
      <c r="D17" s="14" t="s">
        <v>3</v>
      </c>
      <c r="E17" s="1"/>
      <c r="F17" s="1"/>
    </row>
    <row r="18" spans="1:6" x14ac:dyDescent="0.25">
      <c r="A18" s="1"/>
      <c r="B18" s="65"/>
      <c r="C18" s="9"/>
      <c r="D18" s="14" t="s">
        <v>3</v>
      </c>
      <c r="E18" s="1"/>
      <c r="F18" s="1"/>
    </row>
    <row r="19" spans="1:6" x14ac:dyDescent="0.25">
      <c r="A19" s="1"/>
      <c r="B19" s="52" t="s">
        <v>213</v>
      </c>
      <c r="C19" s="12">
        <f>SUM(C10:C18)</f>
        <v>8944775</v>
      </c>
      <c r="D19" s="13" t="s">
        <v>3</v>
      </c>
      <c r="E19" s="1"/>
      <c r="F19" s="1"/>
    </row>
    <row r="20" spans="1:6" x14ac:dyDescent="0.25">
      <c r="A20" s="1"/>
      <c r="B20" s="52" t="s">
        <v>214</v>
      </c>
      <c r="C20" s="12">
        <f>C19*(1+'Fane 13. Nøgletal'!C16)^2</f>
        <v>10448647.855856</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ht="9.9499999999999993" customHeight="1"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pdXi02yvI7JW/XNOu/PYItdGeCdJ/BBeKohLr6vTswqBbzglW0Nk+06FSSYN7RyYAk3ltpMg5iVEKryYF2EALA==" saltValue="2wuUgGrDa2ZBlP+b3D+yX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98" t="s">
        <v>250</v>
      </c>
      <c r="C8" s="99"/>
      <c r="D8" s="99"/>
      <c r="E8" s="99"/>
      <c r="F8" s="100"/>
      <c r="G8" s="1"/>
    </row>
    <row r="9" spans="1:7" x14ac:dyDescent="0.25">
      <c r="A9" s="1"/>
      <c r="B9" s="101" t="s">
        <v>251</v>
      </c>
      <c r="C9" s="102"/>
      <c r="D9" s="103"/>
      <c r="E9" s="28">
        <v>-1019902.7697034851</v>
      </c>
      <c r="F9" s="14" t="s">
        <v>3</v>
      </c>
      <c r="G9" s="1"/>
    </row>
    <row r="10" spans="1:7" x14ac:dyDescent="0.25">
      <c r="A10" s="1"/>
      <c r="B10" s="52"/>
      <c r="C10" s="53"/>
      <c r="D10" s="53"/>
      <c r="E10" s="53"/>
      <c r="F10" s="19"/>
      <c r="G10" s="1"/>
    </row>
    <row r="11" spans="1:7" ht="54.75" customHeight="1" x14ac:dyDescent="0.25">
      <c r="A11" s="1"/>
      <c r="B11" s="120" t="s">
        <v>252</v>
      </c>
      <c r="C11" s="121"/>
      <c r="D11" s="121"/>
      <c r="E11" s="121"/>
      <c r="F11" s="122"/>
      <c r="G11" s="1"/>
    </row>
    <row r="12" spans="1:7" x14ac:dyDescent="0.25">
      <c r="A12" s="1"/>
      <c r="B12" s="1"/>
      <c r="C12" s="1"/>
      <c r="D12" s="1"/>
      <c r="E12" s="1"/>
      <c r="F12" s="1"/>
      <c r="G12" s="1"/>
    </row>
    <row r="13" spans="1:7" x14ac:dyDescent="0.25">
      <c r="A13" s="1"/>
      <c r="B13" s="98" t="s">
        <v>140</v>
      </c>
      <c r="C13" s="99"/>
      <c r="D13" s="99"/>
      <c r="E13" s="99"/>
      <c r="F13" s="100"/>
      <c r="G13" s="1"/>
    </row>
    <row r="14" spans="1:7" x14ac:dyDescent="0.25">
      <c r="A14" s="1"/>
      <c r="B14" s="101" t="s">
        <v>253</v>
      </c>
      <c r="C14" s="102"/>
      <c r="D14" s="103"/>
      <c r="E14" s="9">
        <v>-509951.38485174254</v>
      </c>
      <c r="F14" s="14" t="s">
        <v>3</v>
      </c>
      <c r="G14" s="1"/>
    </row>
    <row r="15" spans="1:7" x14ac:dyDescent="0.25">
      <c r="A15" s="1"/>
      <c r="B15" s="101" t="s">
        <v>254</v>
      </c>
      <c r="C15" s="102"/>
      <c r="D15" s="103"/>
      <c r="E15" s="9">
        <v>-509951.38485174254</v>
      </c>
      <c r="F15" s="14" t="s">
        <v>3</v>
      </c>
      <c r="G15" s="1"/>
    </row>
    <row r="16" spans="1:7" x14ac:dyDescent="0.25">
      <c r="A16" s="1"/>
      <c r="B16" s="52"/>
      <c r="C16" s="53"/>
      <c r="D16" s="53"/>
      <c r="E16" s="53"/>
      <c r="F16" s="19"/>
      <c r="G16" s="1"/>
    </row>
    <row r="17" spans="1:7" ht="30.75" customHeight="1" x14ac:dyDescent="0.25">
      <c r="A17" s="1"/>
      <c r="B17" s="120" t="s">
        <v>255</v>
      </c>
      <c r="C17" s="121"/>
      <c r="D17" s="121"/>
      <c r="E17" s="121"/>
      <c r="F17" s="122"/>
      <c r="G17" s="1"/>
    </row>
    <row r="18" spans="1:7" x14ac:dyDescent="0.25">
      <c r="A18" s="1"/>
      <c r="B18" s="1"/>
      <c r="C18" s="1"/>
      <c r="D18" s="1"/>
      <c r="E18" s="1"/>
      <c r="F18" s="1"/>
      <c r="G18" s="1"/>
    </row>
    <row r="19" spans="1:7" x14ac:dyDescent="0.25">
      <c r="A19" s="1"/>
      <c r="B19" s="66" t="s">
        <v>256</v>
      </c>
      <c r="C19" s="67"/>
      <c r="D19" s="67"/>
      <c r="E19" s="67"/>
      <c r="F19" s="68"/>
      <c r="G19" s="1"/>
    </row>
    <row r="20" spans="1:7" x14ac:dyDescent="0.25">
      <c r="A20" s="1"/>
      <c r="B20" s="62" t="s">
        <v>257</v>
      </c>
      <c r="C20" s="63"/>
      <c r="D20" s="64"/>
      <c r="E20" s="9">
        <v>27373208.343546756</v>
      </c>
      <c r="F20" s="14" t="s">
        <v>3</v>
      </c>
      <c r="G20" s="1"/>
    </row>
    <row r="21" spans="1:7" x14ac:dyDescent="0.25">
      <c r="A21" s="1"/>
      <c r="B21" s="62" t="s">
        <v>258</v>
      </c>
      <c r="C21" s="63"/>
      <c r="D21" s="64"/>
      <c r="E21" s="9">
        <v>29192658</v>
      </c>
      <c r="F21" s="14" t="s">
        <v>3</v>
      </c>
      <c r="G21" s="1"/>
    </row>
    <row r="22" spans="1:7" x14ac:dyDescent="0.25">
      <c r="A22" s="1"/>
      <c r="B22" s="62" t="s">
        <v>29</v>
      </c>
      <c r="C22" s="63"/>
      <c r="D22" s="64"/>
      <c r="E22" s="9">
        <v>0</v>
      </c>
      <c r="F22" s="14" t="s">
        <v>3</v>
      </c>
      <c r="G22" s="1"/>
    </row>
    <row r="23" spans="1:7" x14ac:dyDescent="0.25">
      <c r="A23" s="1"/>
      <c r="B23" s="70" t="s">
        <v>259</v>
      </c>
      <c r="C23" s="71"/>
      <c r="D23" s="72"/>
      <c r="E23" s="10">
        <f>E20-(E21-E22)</f>
        <v>-1819449.6564532444</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98" t="s">
        <v>260</v>
      </c>
      <c r="C26" s="99"/>
      <c r="D26" s="99"/>
      <c r="E26" s="99"/>
      <c r="F26" s="100"/>
      <c r="G26" s="1"/>
    </row>
    <row r="27" spans="1:7" x14ac:dyDescent="0.25">
      <c r="A27" s="1"/>
      <c r="B27" s="123" t="s">
        <v>261</v>
      </c>
      <c r="C27" s="124"/>
      <c r="D27" s="125"/>
      <c r="E27" s="59">
        <f>IF(AND(E15&lt;0,E23&gt;0,ABS(SUM(E14:E15))&lt;E23),ABS(E14),IF(AND(E15&lt;0,E23&gt;0,ABS(SUM(E14:E15))&gt;E23),SUM(E14,E23),0))</f>
        <v>0</v>
      </c>
      <c r="F27" s="17" t="s">
        <v>3</v>
      </c>
      <c r="G27" s="1"/>
    </row>
    <row r="28" spans="1:7" x14ac:dyDescent="0.25">
      <c r="A28" s="1"/>
      <c r="B28" s="98"/>
      <c r="C28" s="99"/>
      <c r="D28" s="99"/>
      <c r="E28" s="99"/>
      <c r="F28" s="100"/>
      <c r="G28" s="1"/>
    </row>
    <row r="29" spans="1:7" x14ac:dyDescent="0.25">
      <c r="A29" s="1"/>
      <c r="B29" s="1"/>
      <c r="C29" s="1"/>
      <c r="D29" s="1"/>
      <c r="E29" s="1"/>
      <c r="F29" s="1"/>
      <c r="G29" s="1"/>
    </row>
    <row r="30" spans="1:7" x14ac:dyDescent="0.25">
      <c r="A30" s="1"/>
      <c r="B30" s="98" t="s">
        <v>262</v>
      </c>
      <c r="C30" s="99"/>
      <c r="D30" s="99"/>
      <c r="E30" s="99"/>
      <c r="F30" s="100"/>
      <c r="G30" s="1"/>
    </row>
    <row r="31" spans="1:7" x14ac:dyDescent="0.25">
      <c r="A31" s="1"/>
      <c r="B31" s="126" t="s">
        <v>117</v>
      </c>
      <c r="C31" s="127"/>
      <c r="D31" s="128"/>
      <c r="E31" s="60">
        <f>IF(AND(E9&gt;0,(E9+E23)&gt;0),0,IF(AND(E9&gt;0,(E9+E23)&lt;0),(E9+E23),IF(AND(E9&lt;0,E23&lt;0),E23,0)))</f>
        <v>-1819449.6564532444</v>
      </c>
      <c r="F31" s="14" t="s">
        <v>3</v>
      </c>
      <c r="G31" s="1"/>
    </row>
    <row r="32" spans="1:7" x14ac:dyDescent="0.25">
      <c r="A32" s="1"/>
      <c r="B32" s="126" t="s">
        <v>85</v>
      </c>
      <c r="C32" s="127"/>
      <c r="D32" s="128"/>
      <c r="E32" s="9">
        <v>2</v>
      </c>
      <c r="F32" s="14" t="s">
        <v>18</v>
      </c>
      <c r="G32" s="1"/>
    </row>
    <row r="33" spans="1:7" x14ac:dyDescent="0.25">
      <c r="A33" s="1"/>
      <c r="B33" s="116" t="s">
        <v>116</v>
      </c>
      <c r="C33" s="116"/>
      <c r="D33" s="116"/>
      <c r="E33" s="59">
        <f>E31/E32</f>
        <v>-909724.82822662219</v>
      </c>
      <c r="F33" s="17" t="s">
        <v>3</v>
      </c>
      <c r="G33" s="1"/>
    </row>
    <row r="34" spans="1:7" x14ac:dyDescent="0.25">
      <c r="A34" s="1"/>
      <c r="B34" s="117"/>
      <c r="C34" s="118"/>
      <c r="D34" s="118"/>
      <c r="E34" s="118"/>
      <c r="F34" s="11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k1/1hgmO7ruC92iwgffBbGpV+CJraGOFldneDtsnoM1jAqV+dfHN7NUw2eKhjkjzfdawkJ2s/+KhxZy/tzFFfg==" saltValue="i9iy5Uq3MnoQTORqdKNGXA==" spinCount="100000" sheet="1" objects="1" scenarios="1"/>
  <mergeCells count="16">
    <mergeCell ref="B13:F13"/>
    <mergeCell ref="B3:F4"/>
    <mergeCell ref="B8:F8"/>
    <mergeCell ref="B9:D9"/>
    <mergeCell ref="B11:F11"/>
    <mergeCell ref="B33:D33"/>
    <mergeCell ref="B34:F34"/>
    <mergeCell ref="B14:D14"/>
    <mergeCell ref="B15:D15"/>
    <mergeCell ref="B17:F17"/>
    <mergeCell ref="B26:F26"/>
    <mergeCell ref="B27:D27"/>
    <mergeCell ref="B31:D31"/>
    <mergeCell ref="B28:F28"/>
    <mergeCell ref="B30:F30"/>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8" t="s">
        <v>184</v>
      </c>
      <c r="C8" s="99"/>
      <c r="D8" s="99"/>
      <c r="E8" s="99"/>
      <c r="F8" s="99"/>
      <c r="G8" s="99"/>
      <c r="H8" s="100"/>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98" t="s">
        <v>193</v>
      </c>
      <c r="C18" s="99"/>
      <c r="D18" s="99"/>
      <c r="E18" s="99"/>
      <c r="F18" s="100"/>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y6mtTgJ2w89PpF8lRTPy/LxEn3C3hYevVPJ2m98lzcyjjmOo1kWjFVH0V48D0jJM6q2xWUvswtIbBVlNZFnmJA==" saltValue="z5vN1sDbCoGPtTE5NCRfO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8" t="s">
        <v>155</v>
      </c>
      <c r="C8" s="99"/>
      <c r="D8" s="99"/>
      <c r="E8" s="99"/>
      <c r="F8" s="99"/>
      <c r="G8" s="99"/>
      <c r="H8" s="99"/>
      <c r="I8" s="99"/>
      <c r="J8" s="99"/>
      <c r="K8" s="100"/>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8"/>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ZHfe5jMBAVuDwbclM4p8O1aLduXE60MqXbGXmTWIDCNkvaYMk1/k8rha9RoCAmgC9DbsFkbr5BvIJa5Mg9ON/w==" saltValue="x5eGQPS+U1rw1NB7uBUUJ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243</v>
      </c>
      <c r="C11" s="21">
        <v>62662</v>
      </c>
      <c r="D11" s="14" t="s">
        <v>3</v>
      </c>
      <c r="E11" s="9">
        <v>180600</v>
      </c>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62662</v>
      </c>
      <c r="D17" s="13" t="s">
        <v>3</v>
      </c>
      <c r="E17" s="12">
        <f>SUM(E10:E16)</f>
        <v>180600</v>
      </c>
      <c r="F17" s="13" t="s">
        <v>3</v>
      </c>
      <c r="G17" s="1"/>
    </row>
    <row r="18" spans="1:7" x14ac:dyDescent="0.25">
      <c r="A18" s="1"/>
      <c r="B18" s="52" t="s">
        <v>209</v>
      </c>
      <c r="C18" s="12">
        <f>C17*(1+'Fane 13. Nøgletal'!C16)</f>
        <v>67725.089599999992</v>
      </c>
      <c r="D18" s="13" t="s">
        <v>3</v>
      </c>
      <c r="E18" s="12">
        <f>E17*(1+'Fane 13. Nøgletal'!C16)</f>
        <v>195192.48</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pK6WucM7fS/QH8jsOlDIGDdp1b2WdFJ4PJr9+9GBYsXL/YTwy/VrqadITa8521N+cBONSa7fARxMOzFznknByw==" saltValue="VHc8U8N5ZunHKTohp3iYI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98" t="s">
        <v>217</v>
      </c>
      <c r="C9" s="99"/>
      <c r="D9" s="99"/>
      <c r="E9" s="99"/>
      <c r="F9" s="100"/>
      <c r="G9" s="1"/>
    </row>
    <row r="10" spans="1:7" ht="26.25" x14ac:dyDescent="0.25">
      <c r="A10" s="1"/>
      <c r="B10" s="73" t="s">
        <v>15</v>
      </c>
      <c r="C10" s="73" t="s">
        <v>10</v>
      </c>
      <c r="D10" s="74"/>
      <c r="E10" s="73" t="s">
        <v>27</v>
      </c>
      <c r="F10" s="30"/>
      <c r="G10" s="1"/>
    </row>
    <row r="11" spans="1:7" x14ac:dyDescent="0.25">
      <c r="A11" s="1"/>
      <c r="B11" s="23" t="s">
        <v>249</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nxSKmav/g4sbWMXMm5C8MZ594LcEFWDL/X4pRYPmt7nFW9jvK8OjJd0MMILsNSs9CqyBzXJxVLiPMVVD32sfA==" saltValue="osMzNUn9wS+uPFRtnui6j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8" t="s">
        <v>104</v>
      </c>
      <c r="C8" s="99"/>
      <c r="D8" s="99"/>
      <c r="E8" s="99"/>
      <c r="F8" s="100"/>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tVaHPjEgyqiUMsR8qflj+oFsYghSSc5nAaxD+db2dxcH4yofpWOKLVFOSmQBdOtz/gX9XN1+xudtzn4rkseg3Q==" saltValue="m1eC5HX0VV3Jv/VIn5BmK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6.425781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98" t="s">
        <v>237</v>
      </c>
      <c r="C10" s="99"/>
      <c r="D10" s="99"/>
      <c r="E10" s="99"/>
      <c r="F10" s="100"/>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0aqlB7YmY1Xpef4LphVxB/c04N5fPHrpHxqLrYOrFmH8y/y+Gk54JFj8qPzKL2tRgjlRfS/a995IdDJlurn9w==" saltValue="DL/9KIVhU1Y9SHh9d5Az3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5" t="s">
        <v>93</v>
      </c>
      <c r="C9" s="40">
        <v>1.2699999999999999E-2</v>
      </c>
      <c r="D9" s="1"/>
    </row>
    <row r="10" spans="1:4" x14ac:dyDescent="0.25">
      <c r="A10" s="1"/>
      <c r="B10" s="65" t="s">
        <v>21</v>
      </c>
      <c r="C10" s="40">
        <v>1.7500000000000002E-2</v>
      </c>
      <c r="D10" s="1"/>
    </row>
    <row r="11" spans="1:4" x14ac:dyDescent="0.25">
      <c r="A11" s="1"/>
      <c r="B11" s="65"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98"/>
      <c r="C17" s="100"/>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5" t="s">
        <v>95</v>
      </c>
      <c r="C21" s="42">
        <v>9.1000000000000004E-3</v>
      </c>
      <c r="D21" s="1"/>
    </row>
    <row r="22" spans="1:4" x14ac:dyDescent="0.25">
      <c r="A22" s="1"/>
      <c r="B22" s="65" t="s">
        <v>96</v>
      </c>
      <c r="C22" s="42">
        <v>1.77E-2</v>
      </c>
      <c r="D22" s="1"/>
    </row>
    <row r="23" spans="1:4" x14ac:dyDescent="0.25">
      <c r="A23" s="1"/>
      <c r="B23" s="65" t="s">
        <v>97</v>
      </c>
      <c r="C23" s="42">
        <v>8.6999999999999994E-3</v>
      </c>
      <c r="D23" s="1"/>
    </row>
    <row r="24" spans="1:4" x14ac:dyDescent="0.25">
      <c r="A24" s="1"/>
      <c r="B24" s="65" t="s">
        <v>98</v>
      </c>
      <c r="C24" s="42">
        <v>2.8400000000000002E-2</v>
      </c>
      <c r="D24" s="1"/>
    </row>
    <row r="25" spans="1:4" x14ac:dyDescent="0.25">
      <c r="A25" s="1"/>
      <c r="B25" s="65" t="s">
        <v>111</v>
      </c>
      <c r="C25" s="42">
        <v>2.75E-2</v>
      </c>
      <c r="D25" s="1"/>
    </row>
    <row r="26" spans="1:4" x14ac:dyDescent="0.25">
      <c r="A26" s="1"/>
      <c r="B26" s="65"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5"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W3OCMdUAdpvoyJSleJ4a9sw4T1rdCumpwjjv35OzTF0XT/X3Qi9ppqrCALZkBA4z15aJVE8a6rUEVAt/uOjaAA==" saltValue="z/Ay6rSNU0ujz9F7uZRGag=="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19735116.612020757</v>
      </c>
      <c r="D8" s="8" t="s">
        <v>3</v>
      </c>
      <c r="E8" s="1"/>
    </row>
    <row r="9" spans="1:5" ht="17.100000000000001" customHeight="1" x14ac:dyDescent="0.25">
      <c r="A9" s="1"/>
      <c r="B9" s="24" t="s">
        <v>33</v>
      </c>
      <c r="C9" s="7">
        <f>'Fane 10.1. Varige tillæg'!C18</f>
        <v>67725.089599999992</v>
      </c>
      <c r="D9" s="8" t="s">
        <v>3</v>
      </c>
      <c r="E9" s="1"/>
    </row>
    <row r="10" spans="1:5" ht="17.100000000000001" customHeight="1" x14ac:dyDescent="0.25">
      <c r="A10" s="1"/>
      <c r="B10" s="24" t="s">
        <v>34</v>
      </c>
      <c r="C10" s="9">
        <f>'Fane 10.1. Varige tillæg'!E18</f>
        <v>195192.48</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723813.89101161901</v>
      </c>
      <c r="D15" s="8" t="s">
        <v>3</v>
      </c>
      <c r="E15" s="1"/>
    </row>
    <row r="16" spans="1:5" ht="17.100000000000001" customHeight="1" x14ac:dyDescent="0.25">
      <c r="A16" s="1"/>
      <c r="B16" s="24" t="s">
        <v>9</v>
      </c>
      <c r="C16" s="9">
        <f>-SUM(C8,C9:C15)*'Fane 5. Individuelt eff. krav'!G9</f>
        <v>-414436.96145264752</v>
      </c>
      <c r="D16" s="8" t="s">
        <v>3</v>
      </c>
      <c r="E16" s="1"/>
    </row>
    <row r="17" spans="1:5" ht="17.100000000000001" customHeight="1" x14ac:dyDescent="0.25">
      <c r="A17" s="1"/>
      <c r="B17" s="24" t="s">
        <v>22</v>
      </c>
      <c r="C17" s="9">
        <f>-'Fane 4.1. Gen. krav - drift'!G49</f>
        <v>-236281.04050183194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20071130.070677895</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10448647.855856</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10">
        <f>SUM(C23:C26)</f>
        <v>0</v>
      </c>
      <c r="D27" s="11" t="s">
        <v>3</v>
      </c>
      <c r="E27" s="1"/>
    </row>
    <row r="28" spans="1:5" ht="15" customHeight="1" x14ac:dyDescent="0.25">
      <c r="A28" s="1"/>
      <c r="B28" s="26" t="s">
        <v>117</v>
      </c>
      <c r="C28" s="53"/>
      <c r="D28" s="19"/>
      <c r="E28" s="1"/>
    </row>
    <row r="29" spans="1:5" x14ac:dyDescent="0.25">
      <c r="A29" s="1"/>
      <c r="B29" s="69" t="s">
        <v>118</v>
      </c>
      <c r="C29" s="10">
        <f>'Fane 7. Kontrol af ØR2022'!E15</f>
        <v>-509951.38485174254</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52" t="s">
        <v>126</v>
      </c>
      <c r="C32" s="33">
        <f>SUM(C19,C21,C27,C29,C31)</f>
        <v>30009826.54168215</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1.45" customHeight="1" x14ac:dyDescent="0.25">
      <c r="A45" s="1"/>
      <c r="B45" s="1"/>
      <c r="C45" s="1"/>
      <c r="D45" s="1"/>
      <c r="E45" s="1"/>
    </row>
    <row r="46" spans="1:5" x14ac:dyDescent="0.25">
      <c r="A46" s="1"/>
      <c r="B46" s="1"/>
      <c r="C46" s="1"/>
      <c r="D46" s="1"/>
      <c r="E46" s="1"/>
    </row>
    <row r="47" spans="1:5" ht="4.5" customHeight="1"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EUGZzUT46dj27s4LIBN6oA6xDlWFkZSX+O0hqdQzyLpQ3frZhjowpiABl+BciKd4hJtC2TzNgMdljYQFpfAdw==" saltValue="bHOP3gdFuWnfVEocdV9T5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20071130.070677895</v>
      </c>
      <c r="D8" s="8" t="s">
        <v>3</v>
      </c>
      <c r="E8" s="1"/>
    </row>
    <row r="9" spans="1:5" ht="15" customHeight="1" x14ac:dyDescent="0.25">
      <c r="A9" s="1"/>
      <c r="B9" s="29" t="s">
        <v>17</v>
      </c>
      <c r="C9" s="9">
        <f>SUM(C8:C8)*'Fane 13. Nøgletal'!C16</f>
        <v>1621747.3097107739</v>
      </c>
      <c r="D9" s="8" t="s">
        <v>3</v>
      </c>
      <c r="E9" s="1"/>
    </row>
    <row r="10" spans="1:5" ht="15" customHeight="1" x14ac:dyDescent="0.25">
      <c r="A10" s="1"/>
      <c r="B10" s="29" t="s">
        <v>9</v>
      </c>
      <c r="C10" s="9">
        <f>-SUM(C8:C9)*'Fane 5. Individuelt eff. krav'!G9</f>
        <v>-433857.54760777339</v>
      </c>
      <c r="D10" s="8" t="s">
        <v>3</v>
      </c>
      <c r="E10" s="1"/>
    </row>
    <row r="11" spans="1:5" ht="15" customHeight="1" x14ac:dyDescent="0.25">
      <c r="A11" s="1"/>
      <c r="B11" s="29" t="s">
        <v>22</v>
      </c>
      <c r="C11" s="9">
        <f>-'Fane 4.1. Gen. krav - drift'!G54</f>
        <v>-250265.09760289238</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21008754.735178005</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11292898.602609165</v>
      </c>
      <c r="D15" s="11" t="s">
        <v>3</v>
      </c>
      <c r="E15" s="1"/>
    </row>
    <row r="16" spans="1:5" x14ac:dyDescent="0.25">
      <c r="A16" s="1"/>
      <c r="B16" s="26" t="s">
        <v>117</v>
      </c>
      <c r="C16" s="53"/>
      <c r="D16" s="19"/>
      <c r="E16" s="1"/>
    </row>
    <row r="17" spans="1:5" ht="15" customHeight="1" x14ac:dyDescent="0.25">
      <c r="A17" s="1"/>
      <c r="B17" s="69" t="s">
        <v>118</v>
      </c>
      <c r="C17" s="10">
        <f>'Fane 7. Kontrol af ØR2022'!E33</f>
        <v>-909724.82822662219</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31391928.509560548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YTiVxyxckRMxCtyfuWHoeK5Ojs/nyi5ZUygzCD5AeKrU/XgbcDui6YXaAEI+cM4S14xJpC548AdXix0PJbG4g==" saltValue="TCAORxmhn4lW4m/UEuD0q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21008754.735178005</v>
      </c>
      <c r="D8" s="8" t="s">
        <v>3</v>
      </c>
      <c r="E8" s="1"/>
    </row>
    <row r="9" spans="1:5" ht="15" customHeight="1" x14ac:dyDescent="0.25">
      <c r="A9" s="1"/>
      <c r="B9" s="29" t="s">
        <v>17</v>
      </c>
      <c r="C9" s="9">
        <f>SUM(C8:C8)*'Fane 13. Nøgletal'!C16</f>
        <v>1697507.3826023827</v>
      </c>
      <c r="D9" s="8" t="s">
        <v>3</v>
      </c>
      <c r="E9" s="1"/>
    </row>
    <row r="10" spans="1:5" ht="15" customHeight="1" x14ac:dyDescent="0.25">
      <c r="A10" s="1"/>
      <c r="B10" s="29" t="s">
        <v>9</v>
      </c>
      <c r="C10" s="9">
        <f>-SUM(C8:C9)*'Fane 5. Individuelt eff. krav'!G9</f>
        <v>-454125.24235560774</v>
      </c>
      <c r="D10" s="8" t="s">
        <v>3</v>
      </c>
      <c r="E10" s="1"/>
    </row>
    <row r="11" spans="1:5" ht="15" customHeight="1" x14ac:dyDescent="0.25">
      <c r="A11" s="1"/>
      <c r="B11" s="29" t="s">
        <v>22</v>
      </c>
      <c r="C11" s="9">
        <f>-'Fane 4.1. Gen. krav - drift'!G59</f>
        <v>-265076.78713942191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21987060.088285357</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12205364.809699984</v>
      </c>
      <c r="D15" s="11" t="s">
        <v>3</v>
      </c>
      <c r="E15" s="1"/>
    </row>
    <row r="16" spans="1:5" x14ac:dyDescent="0.25">
      <c r="A16" s="1"/>
      <c r="B16" s="52" t="s">
        <v>117</v>
      </c>
      <c r="C16" s="53"/>
      <c r="D16" s="19"/>
      <c r="E16" s="1"/>
    </row>
    <row r="17" spans="1:5" x14ac:dyDescent="0.25">
      <c r="A17" s="1"/>
      <c r="B17" s="54" t="s">
        <v>118</v>
      </c>
      <c r="C17" s="10">
        <f>'Fane 7. Kontrol af ØR2022'!E33</f>
        <v>-909724.82822662219</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33282700.069758717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50fAiRgt3c+LfgrPNfOvBuQEYqtFvFansRdrkD5GwW0lhM5hthfPhkzNbfzbQ+oZ4Vc6c87nEt99az8K8iP2hg==" saltValue="mfzFzZjTNfpS9KtU1ppg0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21987060.088285357</v>
      </c>
      <c r="D8" s="8" t="s">
        <v>3</v>
      </c>
      <c r="E8" s="1"/>
    </row>
    <row r="9" spans="1:5" ht="15" customHeight="1" x14ac:dyDescent="0.25">
      <c r="A9" s="1"/>
      <c r="B9" s="29" t="s">
        <v>17</v>
      </c>
      <c r="C9" s="9">
        <f>SUM(C8:C8)*'Fane 13. Nøgletal'!C16</f>
        <v>1776554.4551334567</v>
      </c>
      <c r="D9" s="8" t="s">
        <v>3</v>
      </c>
      <c r="E9" s="1"/>
    </row>
    <row r="10" spans="1:5" ht="15" customHeight="1" x14ac:dyDescent="0.25">
      <c r="A10" s="1"/>
      <c r="B10" s="29" t="s">
        <v>9</v>
      </c>
      <c r="C10" s="9">
        <f>-SUM(C8:C9)*'Fane 5. Individuelt eff. krav'!G9</f>
        <v>-475272.29086837627</v>
      </c>
      <c r="D10" s="8" t="s">
        <v>3</v>
      </c>
      <c r="E10" s="1"/>
    </row>
    <row r="11" spans="1:5" ht="15" customHeight="1" x14ac:dyDescent="0.25">
      <c r="A11" s="1"/>
      <c r="B11" s="29" t="s">
        <v>22</v>
      </c>
      <c r="C11" s="9">
        <f>-'Fane 4.1. Gen. krav - drift'!G64</f>
        <v>-280765.09170948149</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23007577.160840958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13191558.286323743</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36199135.447164699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6wNv+QqwCwgAnonRm0RUGXjiijWJjgvTxYp0uisoEMz7tHxzHsdjAdfLEedRcOF4LAiorI38oDZZdaThdXrSg==" saltValue="JGvGDLCimmX40VWnQQrgy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19213424.964591525</v>
      </c>
      <c r="D8" s="8" t="s">
        <v>3</v>
      </c>
      <c r="E8" s="1"/>
    </row>
    <row r="9" spans="1:5" x14ac:dyDescent="0.25">
      <c r="A9" s="1"/>
      <c r="B9" s="24" t="s">
        <v>33</v>
      </c>
      <c r="C9" s="7">
        <v>440896.34400000004</v>
      </c>
      <c r="D9" s="8" t="s">
        <v>3</v>
      </c>
      <c r="E9" s="1"/>
    </row>
    <row r="10" spans="1:5" x14ac:dyDescent="0.25">
      <c r="A10" s="1"/>
      <c r="B10" s="24" t="s">
        <v>34</v>
      </c>
      <c r="C10" s="9">
        <v>19267.338</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700379.75581865828</v>
      </c>
      <c r="D15" s="8" t="s">
        <v>3</v>
      </c>
      <c r="E15" s="1"/>
    </row>
    <row r="16" spans="1:5" x14ac:dyDescent="0.25">
      <c r="A16" s="1"/>
      <c r="B16" s="24" t="s">
        <v>9</v>
      </c>
      <c r="C16" s="9">
        <v>-407479.36804820364</v>
      </c>
      <c r="D16" s="8" t="s">
        <v>3</v>
      </c>
      <c r="E16" s="1"/>
    </row>
    <row r="17" spans="1:5" x14ac:dyDescent="0.25">
      <c r="A17" s="1"/>
      <c r="B17" s="24" t="s">
        <v>22</v>
      </c>
      <c r="C17" s="9">
        <v>-231372.42234122221</v>
      </c>
      <c r="D17" s="8" t="s">
        <v>3</v>
      </c>
      <c r="E17" s="1"/>
    </row>
    <row r="18" spans="1:5" x14ac:dyDescent="0.25">
      <c r="A18" s="1"/>
      <c r="B18" s="24" t="s">
        <v>23</v>
      </c>
      <c r="C18" s="9">
        <v>0</v>
      </c>
      <c r="D18" s="8" t="s">
        <v>3</v>
      </c>
      <c r="E18" s="1"/>
    </row>
    <row r="19" spans="1:5" x14ac:dyDescent="0.25">
      <c r="A19" s="1"/>
      <c r="B19" s="70" t="s">
        <v>19</v>
      </c>
      <c r="C19" s="10">
        <v>19735116.612020757</v>
      </c>
      <c r="D19" s="11" t="s">
        <v>3</v>
      </c>
      <c r="E19" s="1"/>
    </row>
    <row r="20" spans="1:5" x14ac:dyDescent="0.25">
      <c r="A20" s="1"/>
      <c r="B20" s="52" t="s">
        <v>11</v>
      </c>
      <c r="C20" s="53"/>
      <c r="D20" s="19"/>
      <c r="E20" s="1"/>
    </row>
    <row r="21" spans="1:5" x14ac:dyDescent="0.25">
      <c r="A21" s="1"/>
      <c r="B21" s="54" t="s">
        <v>11</v>
      </c>
      <c r="C21" s="10">
        <v>9689292.1613088008</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7">
        <v>0</v>
      </c>
      <c r="D27" s="11" t="s">
        <v>3</v>
      </c>
      <c r="E27" s="1"/>
    </row>
    <row r="28" spans="1:5" x14ac:dyDescent="0.25">
      <c r="A28" s="1"/>
      <c r="B28" s="26" t="s">
        <v>117</v>
      </c>
      <c r="C28" s="53"/>
      <c r="D28" s="19"/>
      <c r="E28" s="1"/>
    </row>
    <row r="29" spans="1:5" x14ac:dyDescent="0.25">
      <c r="A29" s="1"/>
      <c r="B29" s="69" t="s">
        <v>118</v>
      </c>
      <c r="C29" s="10">
        <v>-509951.38485174254</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28914457.388477813</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j+PmsbKzbWN7Lo20cNeDs/+WOSW2Kzq7L5gTwXVtYyvtFaUZrN+aG0TLheAP62OIceXVYvoaaAZRwZOYUc1nkQ==" saltValue="baceHKD+//SqFz8VI1HfG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98" t="s">
        <v>44</v>
      </c>
      <c r="C4" s="99"/>
      <c r="D4" s="99"/>
      <c r="E4" s="99"/>
      <c r="F4" s="99"/>
      <c r="G4" s="99"/>
      <c r="H4" s="100"/>
      <c r="I4" s="1"/>
    </row>
    <row r="5" spans="1:9" x14ac:dyDescent="0.25">
      <c r="A5" s="1"/>
      <c r="B5" s="101" t="s">
        <v>36</v>
      </c>
      <c r="C5" s="102"/>
      <c r="D5" s="102"/>
      <c r="E5" s="102"/>
      <c r="F5" s="103"/>
      <c r="G5" s="47">
        <v>8936688.2985880561</v>
      </c>
      <c r="H5" s="14" t="s">
        <v>3</v>
      </c>
      <c r="I5" s="1"/>
    </row>
    <row r="6" spans="1:9" x14ac:dyDescent="0.25">
      <c r="A6" s="1"/>
      <c r="B6" s="101" t="s">
        <v>37</v>
      </c>
      <c r="C6" s="102"/>
      <c r="D6" s="102"/>
      <c r="E6" s="102"/>
      <c r="F6" s="103"/>
      <c r="G6" s="22">
        <f>G5*'Fane 13. Nøgletal'!C33</f>
        <v>178733.76597176114</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98" t="s">
        <v>45</v>
      </c>
      <c r="C9" s="99"/>
      <c r="D9" s="99"/>
      <c r="E9" s="99"/>
      <c r="F9" s="99"/>
      <c r="G9" s="99"/>
      <c r="H9" s="100"/>
      <c r="I9" s="1"/>
    </row>
    <row r="10" spans="1:9" x14ac:dyDescent="0.25">
      <c r="A10" s="1"/>
      <c r="B10" s="101" t="s">
        <v>38</v>
      </c>
      <c r="C10" s="102"/>
      <c r="D10" s="102"/>
      <c r="E10" s="102"/>
      <c r="F10" s="103"/>
      <c r="G10" s="22">
        <f>(G5-G6)*(1+'Fane 13. Nøgletal'!C9)</f>
        <v>8869180.5551805217</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177383.61110361043</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98" t="s">
        <v>46</v>
      </c>
      <c r="C15" s="99"/>
      <c r="D15" s="99"/>
      <c r="E15" s="99"/>
      <c r="F15" s="99"/>
      <c r="G15" s="99"/>
      <c r="H15" s="100"/>
      <c r="I15" s="1"/>
    </row>
    <row r="16" spans="1:9" x14ac:dyDescent="0.25">
      <c r="A16" s="1"/>
      <c r="B16" s="101" t="s">
        <v>40</v>
      </c>
      <c r="C16" s="102"/>
      <c r="D16" s="102"/>
      <c r="E16" s="102"/>
      <c r="F16" s="103"/>
      <c r="G16" s="22">
        <f>(G10+G11-G12)*(1+'Fane 13. Nøgletal'!C11)</f>
        <v>8838688.3124318104</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176773.76624863621</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98" t="s">
        <v>47</v>
      </c>
      <c r="C22" s="99"/>
      <c r="D22" s="99"/>
      <c r="E22" s="99"/>
      <c r="F22" s="99"/>
      <c r="G22" s="99"/>
      <c r="H22" s="100"/>
      <c r="I22" s="1"/>
    </row>
    <row r="23" spans="1:9" x14ac:dyDescent="0.25">
      <c r="A23" s="1"/>
      <c r="B23" s="101" t="s">
        <v>42</v>
      </c>
      <c r="C23" s="102"/>
      <c r="D23" s="102"/>
      <c r="E23" s="102"/>
      <c r="F23" s="103"/>
      <c r="G23" s="22">
        <f>(SUM(G16:G18)-G19)*(1+'Fane 13. Nøgletal'!C11)</f>
        <v>8808300.9020136688</v>
      </c>
      <c r="H23" s="14" t="s">
        <v>3</v>
      </c>
      <c r="I23" s="1"/>
    </row>
    <row r="24" spans="1:9" x14ac:dyDescent="0.25">
      <c r="A24" s="1"/>
      <c r="B24" s="104" t="s">
        <v>230</v>
      </c>
      <c r="C24" s="105"/>
      <c r="D24" s="105"/>
      <c r="E24" s="105"/>
      <c r="F24" s="106"/>
      <c r="G24" s="47">
        <v>1930788.7334275723</v>
      </c>
      <c r="H24" s="14" t="s">
        <v>3</v>
      </c>
      <c r="I24" s="1"/>
    </row>
    <row r="25" spans="1:9" x14ac:dyDescent="0.25">
      <c r="A25" s="1"/>
      <c r="B25" s="101" t="s">
        <v>43</v>
      </c>
      <c r="C25" s="102"/>
      <c r="D25" s="102"/>
      <c r="E25" s="102"/>
      <c r="F25" s="103"/>
      <c r="G25" s="22">
        <f>(G23+G24)*'Fane 13. Nøgletal'!C33</f>
        <v>214781.79270882485</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98" t="s">
        <v>121</v>
      </c>
      <c r="C28" s="99"/>
      <c r="D28" s="99"/>
      <c r="E28" s="99"/>
      <c r="F28" s="99"/>
      <c r="G28" s="99"/>
      <c r="H28" s="100"/>
      <c r="I28" s="1"/>
    </row>
    <row r="29" spans="1:9" x14ac:dyDescent="0.25">
      <c r="A29" s="1"/>
      <c r="B29" s="101" t="s">
        <v>50</v>
      </c>
      <c r="C29" s="102"/>
      <c r="D29" s="102"/>
      <c r="E29" s="102"/>
      <c r="F29" s="103"/>
      <c r="G29" s="22">
        <f>(G23+G24-G25)*(1+'Fane 13. Nøgletal'!C13)</f>
        <v>10652704.398413751</v>
      </c>
      <c r="H29" s="14" t="s">
        <v>3</v>
      </c>
      <c r="I29" s="1"/>
    </row>
    <row r="30" spans="1:9" x14ac:dyDescent="0.25">
      <c r="A30" s="1"/>
      <c r="B30" s="101" t="s">
        <v>231</v>
      </c>
      <c r="C30" s="102"/>
      <c r="D30" s="102"/>
      <c r="E30" s="102"/>
      <c r="F30" s="103"/>
      <c r="G30" s="47">
        <v>45734.835668760003</v>
      </c>
      <c r="H30" s="14" t="s">
        <v>3</v>
      </c>
      <c r="I30" s="1"/>
    </row>
    <row r="31" spans="1:9" x14ac:dyDescent="0.25">
      <c r="A31" s="1"/>
      <c r="B31" s="101" t="s">
        <v>115</v>
      </c>
      <c r="C31" s="102"/>
      <c r="D31" s="102"/>
      <c r="E31" s="102"/>
      <c r="F31" s="103"/>
      <c r="G31" s="22">
        <f>(G29+G30)*'Fane 13. Nøgletal'!C33</f>
        <v>213968.78468165023</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98" t="s">
        <v>122</v>
      </c>
      <c r="C34" s="99"/>
      <c r="D34" s="99"/>
      <c r="E34" s="99"/>
      <c r="F34" s="99"/>
      <c r="G34" s="99"/>
      <c r="H34" s="100"/>
      <c r="I34" s="1"/>
    </row>
    <row r="35" spans="1:9" x14ac:dyDescent="0.25">
      <c r="A35" s="1"/>
      <c r="B35" s="101" t="s">
        <v>69</v>
      </c>
      <c r="C35" s="102"/>
      <c r="D35" s="102"/>
      <c r="E35" s="102"/>
      <c r="F35" s="103"/>
      <c r="G35" s="22">
        <f>(G29+G30-G31)*(1+'Fane 13. Nøgletal'!C13)</f>
        <v>10612380.988883551</v>
      </c>
      <c r="H35" s="14" t="s">
        <v>3</v>
      </c>
      <c r="I35" s="1"/>
    </row>
    <row r="36" spans="1:9" x14ac:dyDescent="0.25">
      <c r="A36" s="1"/>
      <c r="B36" s="101" t="s">
        <v>232</v>
      </c>
      <c r="C36" s="102"/>
      <c r="D36" s="102"/>
      <c r="E36" s="102"/>
      <c r="F36" s="103"/>
      <c r="G36" s="47">
        <v>336638.86672092008</v>
      </c>
      <c r="H36" s="14" t="s">
        <v>3</v>
      </c>
      <c r="I36" s="1"/>
    </row>
    <row r="37" spans="1:9" x14ac:dyDescent="0.25">
      <c r="A37" s="1"/>
      <c r="B37" s="101" t="s">
        <v>123</v>
      </c>
      <c r="C37" s="102"/>
      <c r="D37" s="102"/>
      <c r="E37" s="102"/>
      <c r="F37" s="103"/>
      <c r="G37" s="22">
        <f>(G35+G36)*'Fane 13. Nøgletal'!C33</f>
        <v>218980.39711208944</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98" t="s">
        <v>157</v>
      </c>
      <c r="C40" s="99"/>
      <c r="D40" s="99"/>
      <c r="E40" s="99"/>
      <c r="F40" s="99"/>
      <c r="G40" s="99"/>
      <c r="H40" s="100"/>
      <c r="I40" s="1"/>
    </row>
    <row r="41" spans="1:9" x14ac:dyDescent="0.25">
      <c r="A41" s="1"/>
      <c r="B41" s="101" t="s">
        <v>68</v>
      </c>
      <c r="C41" s="102"/>
      <c r="D41" s="102"/>
      <c r="E41" s="102"/>
      <c r="F41" s="103"/>
      <c r="G41" s="22">
        <f>(G35+G36-G37)*(1+'Fane 13. Nøgletal'!C15)</f>
        <v>11112028.863214711</v>
      </c>
      <c r="H41" s="14" t="s">
        <v>3</v>
      </c>
      <c r="I41" s="1"/>
    </row>
    <row r="42" spans="1:9" x14ac:dyDescent="0.25">
      <c r="A42" s="1"/>
      <c r="B42" s="101" t="s">
        <v>156</v>
      </c>
      <c r="C42" s="102"/>
      <c r="D42" s="102"/>
      <c r="E42" s="102"/>
      <c r="F42" s="103"/>
      <c r="G42" s="22">
        <v>456592.25384640007</v>
      </c>
      <c r="H42" s="14" t="s">
        <v>3</v>
      </c>
      <c r="I42" s="1"/>
    </row>
    <row r="43" spans="1:9" x14ac:dyDescent="0.25">
      <c r="A43" s="1"/>
      <c r="B43" s="101" t="s">
        <v>166</v>
      </c>
      <c r="C43" s="102"/>
      <c r="D43" s="102"/>
      <c r="E43" s="102"/>
      <c r="F43" s="103"/>
      <c r="G43" s="22">
        <f>(G41+G42)*'Fane 13. Nøgletal'!C33</f>
        <v>231372.42234122221</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98" t="s">
        <v>158</v>
      </c>
      <c r="C46" s="99"/>
      <c r="D46" s="99"/>
      <c r="E46" s="99"/>
      <c r="F46" s="99"/>
      <c r="G46" s="99"/>
      <c r="H46" s="100"/>
      <c r="I46" s="1"/>
    </row>
    <row r="47" spans="1:9" x14ac:dyDescent="0.25">
      <c r="A47" s="1"/>
      <c r="B47" s="101" t="s">
        <v>112</v>
      </c>
      <c r="C47" s="102"/>
      <c r="D47" s="102"/>
      <c r="E47" s="102"/>
      <c r="F47" s="103"/>
      <c r="G47" s="22">
        <f>(G41+G42-G43)*(1+'Fane 13. Nøgletal'!C15)</f>
        <v>11740854.748251917</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73197.276839679995</v>
      </c>
      <c r="H48" s="14" t="s">
        <v>3</v>
      </c>
      <c r="I48" s="1"/>
    </row>
    <row r="49" spans="1:9" x14ac:dyDescent="0.25">
      <c r="A49" s="1"/>
      <c r="B49" s="101" t="s">
        <v>167</v>
      </c>
      <c r="C49" s="102"/>
      <c r="D49" s="102"/>
      <c r="E49" s="102"/>
      <c r="F49" s="103"/>
      <c r="G49" s="22">
        <f>G47*'Fane 13. Nøgletal'!C33+G48*'Fane 13. Nøgletal'!C33</f>
        <v>236281.04050183194</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98" t="s">
        <v>133</v>
      </c>
      <c r="C52" s="99"/>
      <c r="D52" s="99"/>
      <c r="E52" s="99"/>
      <c r="F52" s="99"/>
      <c r="G52" s="99"/>
      <c r="H52" s="100"/>
      <c r="I52" s="1"/>
    </row>
    <row r="53" spans="1:9" x14ac:dyDescent="0.25">
      <c r="A53" s="1"/>
      <c r="B53" s="101" t="s">
        <v>134</v>
      </c>
      <c r="C53" s="102"/>
      <c r="D53" s="102"/>
      <c r="E53" s="102"/>
      <c r="F53" s="103"/>
      <c r="G53" s="22">
        <f>(G47+G48-G49)*(1+'Fane 13. Nøgletal'!C16)</f>
        <v>12513254.880144618</v>
      </c>
      <c r="H53" s="14" t="s">
        <v>3</v>
      </c>
      <c r="I53" s="1"/>
    </row>
    <row r="54" spans="1:9" x14ac:dyDescent="0.25">
      <c r="A54" s="1"/>
      <c r="B54" s="101" t="s">
        <v>135</v>
      </c>
      <c r="C54" s="102"/>
      <c r="D54" s="102"/>
      <c r="E54" s="102"/>
      <c r="F54" s="103"/>
      <c r="G54" s="22">
        <f>(G53)*'Fane 13. Nøgletal'!C33</f>
        <v>250265.09760289238</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98" t="s">
        <v>144</v>
      </c>
      <c r="C57" s="99"/>
      <c r="D57" s="99"/>
      <c r="E57" s="99"/>
      <c r="F57" s="99"/>
      <c r="G57" s="99"/>
      <c r="H57" s="100"/>
      <c r="I57" s="1"/>
    </row>
    <row r="58" spans="1:9" x14ac:dyDescent="0.25">
      <c r="A58" s="1"/>
      <c r="B58" s="101" t="s">
        <v>145</v>
      </c>
      <c r="C58" s="102"/>
      <c r="D58" s="102"/>
      <c r="E58" s="102"/>
      <c r="F58" s="103"/>
      <c r="G58" s="22">
        <f>(G53-G54)*(1+'Fane 13. Nøgletal'!C16)</f>
        <v>13253839.356971096</v>
      </c>
      <c r="H58" s="14" t="s">
        <v>3</v>
      </c>
      <c r="I58" s="1"/>
    </row>
    <row r="59" spans="1:9" x14ac:dyDescent="0.25">
      <c r="A59" s="1"/>
      <c r="B59" s="101" t="s">
        <v>146</v>
      </c>
      <c r="C59" s="102"/>
      <c r="D59" s="102"/>
      <c r="E59" s="102"/>
      <c r="F59" s="103"/>
      <c r="G59" s="22">
        <f>(G58)*'Fane 13. Nøgletal'!C33</f>
        <v>265076.78713942191</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98" t="s">
        <v>220</v>
      </c>
      <c r="C62" s="99"/>
      <c r="D62" s="99"/>
      <c r="E62" s="99"/>
      <c r="F62" s="99"/>
      <c r="G62" s="99"/>
      <c r="H62" s="100"/>
      <c r="I62" s="1"/>
    </row>
    <row r="63" spans="1:9" x14ac:dyDescent="0.25">
      <c r="A63" s="1"/>
      <c r="B63" s="101" t="s">
        <v>221</v>
      </c>
      <c r="C63" s="102"/>
      <c r="D63" s="102"/>
      <c r="E63" s="102"/>
      <c r="F63" s="103"/>
      <c r="G63" s="22">
        <f>(G58-G59)*(1+'Fane 13. Nøgletal'!C16)</f>
        <v>14038254.585474074</v>
      </c>
      <c r="H63" s="14" t="s">
        <v>3</v>
      </c>
      <c r="I63" s="1"/>
    </row>
    <row r="64" spans="1:9" x14ac:dyDescent="0.25">
      <c r="A64" s="1"/>
      <c r="B64" s="101" t="s">
        <v>222</v>
      </c>
      <c r="C64" s="102"/>
      <c r="D64" s="102"/>
      <c r="E64" s="102"/>
      <c r="F64" s="103"/>
      <c r="G64" s="22">
        <f>(G63)*'Fane 13. Nøgletal'!C33</f>
        <v>280765.09170948149</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xe8pqNxmEvuQF8bCciG4y8DzUNv81VaUzng4iBMgqVkVu7Rk7WHwjKMt+i6WhoksVm+1XyYacIECaBYfUhib3w==" saltValue="3xYxmY2uqOfHt+4NdEGsaA=="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98" t="s">
        <v>48</v>
      </c>
      <c r="C4" s="99"/>
      <c r="D4" s="99"/>
      <c r="E4" s="99"/>
      <c r="F4" s="99"/>
      <c r="G4" s="99"/>
      <c r="H4" s="100"/>
      <c r="I4" s="1"/>
    </row>
    <row r="5" spans="1:9" x14ac:dyDescent="0.25">
      <c r="A5" s="1"/>
      <c r="B5" s="101" t="s">
        <v>51</v>
      </c>
      <c r="C5" s="102"/>
      <c r="D5" s="102"/>
      <c r="E5" s="102"/>
      <c r="F5" s="103"/>
      <c r="G5" s="47">
        <v>8574042.1146008968</v>
      </c>
      <c r="H5" s="14" t="s">
        <v>3</v>
      </c>
      <c r="I5" s="1"/>
    </row>
    <row r="6" spans="1:9" x14ac:dyDescent="0.25">
      <c r="A6" s="1"/>
      <c r="B6" s="101" t="s">
        <v>49</v>
      </c>
      <c r="C6" s="102"/>
      <c r="D6" s="102"/>
      <c r="E6" s="102"/>
      <c r="F6" s="103"/>
      <c r="G6" s="22">
        <f>G5*'Fane 13. Nøgletal'!C21</f>
        <v>78023.783242868172</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98" t="s">
        <v>52</v>
      </c>
      <c r="C9" s="99"/>
      <c r="D9" s="99"/>
      <c r="E9" s="99"/>
      <c r="F9" s="99"/>
      <c r="G9" s="99"/>
      <c r="H9" s="100"/>
      <c r="I9" s="1"/>
    </row>
    <row r="10" spans="1:9" x14ac:dyDescent="0.25">
      <c r="A10" s="1"/>
      <c r="B10" s="101" t="s">
        <v>53</v>
      </c>
      <c r="C10" s="102"/>
      <c r="D10" s="102"/>
      <c r="E10" s="102"/>
      <c r="F10" s="103"/>
      <c r="G10" s="22">
        <f>(G5-G6)*(1+'Fane 13. Nøgletal'!C9)</f>
        <v>8603917.764166275</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78295.651653913112</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98" t="s">
        <v>56</v>
      </c>
      <c r="C15" s="99"/>
      <c r="D15" s="99"/>
      <c r="E15" s="99"/>
      <c r="F15" s="99"/>
      <c r="G15" s="99"/>
      <c r="H15" s="100"/>
      <c r="I15" s="1"/>
    </row>
    <row r="16" spans="1:9" x14ac:dyDescent="0.25">
      <c r="A16" s="1"/>
      <c r="B16" s="101" t="s">
        <v>57</v>
      </c>
      <c r="C16" s="102"/>
      <c r="D16" s="102"/>
      <c r="E16" s="102"/>
      <c r="F16" s="103"/>
      <c r="G16" s="22">
        <f>(G10+G11-G12)*(1+'Fane 13. Nøgletal'!C11)</f>
        <v>8669705.1262138188</v>
      </c>
      <c r="H16" s="14" t="s">
        <v>3</v>
      </c>
      <c r="I16" s="1"/>
    </row>
    <row r="17" spans="1:9" x14ac:dyDescent="0.25">
      <c r="A17" s="1"/>
      <c r="B17" s="101" t="s">
        <v>101</v>
      </c>
      <c r="C17" s="102"/>
      <c r="D17" s="102"/>
      <c r="E17" s="102"/>
      <c r="F17" s="103"/>
      <c r="G17" s="47">
        <v>183306.52407406602</v>
      </c>
      <c r="H17" s="14" t="s">
        <v>3</v>
      </c>
      <c r="I17" s="1"/>
    </row>
    <row r="18" spans="1:9" x14ac:dyDescent="0.25">
      <c r="A18" s="1"/>
      <c r="B18" s="104" t="s">
        <v>58</v>
      </c>
      <c r="C18" s="105"/>
      <c r="D18" s="105"/>
      <c r="E18" s="105"/>
      <c r="F18" s="106"/>
      <c r="G18" s="47">
        <v>487592.40013978333</v>
      </c>
      <c r="H18" s="14" t="s">
        <v>3</v>
      </c>
      <c r="I18" s="1"/>
    </row>
    <row r="19" spans="1:9" x14ac:dyDescent="0.25">
      <c r="A19" s="1"/>
      <c r="B19" s="101" t="s">
        <v>59</v>
      </c>
      <c r="C19" s="102"/>
      <c r="D19" s="102"/>
      <c r="E19" s="102"/>
      <c r="F19" s="103"/>
      <c r="G19" s="22">
        <f>(G16+G17+G18)*'Fane 13. Nøgletal'!C23</f>
        <v>81263.255238720711</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98" t="s">
        <v>60</v>
      </c>
      <c r="C22" s="99"/>
      <c r="D22" s="99"/>
      <c r="E22" s="99"/>
      <c r="F22" s="99"/>
      <c r="G22" s="99"/>
      <c r="H22" s="100"/>
      <c r="I22" s="1"/>
    </row>
    <row r="23" spans="1:9" x14ac:dyDescent="0.25">
      <c r="A23" s="1"/>
      <c r="B23" s="101" t="s">
        <v>61</v>
      </c>
      <c r="C23" s="102"/>
      <c r="D23" s="102"/>
      <c r="E23" s="102"/>
      <c r="F23" s="103"/>
      <c r="G23" s="22">
        <f>(SUM(G16:G18)-G19)*(1+'Fane 13. Nøgletal'!C11)</f>
        <v>9415823.6546276398</v>
      </c>
      <c r="H23" s="14" t="s">
        <v>3</v>
      </c>
      <c r="I23" s="1"/>
    </row>
    <row r="24" spans="1:9" x14ac:dyDescent="0.25">
      <c r="A24" s="1"/>
      <c r="B24" s="104" t="s">
        <v>62</v>
      </c>
      <c r="C24" s="105"/>
      <c r="D24" s="105"/>
      <c r="E24" s="105"/>
      <c r="F24" s="106"/>
      <c r="G24" s="47">
        <v>357856.54682714643</v>
      </c>
      <c r="H24" s="14" t="s">
        <v>3</v>
      </c>
      <c r="I24" s="1"/>
    </row>
    <row r="25" spans="1:9" x14ac:dyDescent="0.25">
      <c r="A25" s="1"/>
      <c r="B25" s="101" t="s">
        <v>63</v>
      </c>
      <c r="C25" s="102"/>
      <c r="D25" s="102"/>
      <c r="E25" s="102"/>
      <c r="F25" s="103"/>
      <c r="G25" s="22">
        <f>G23*'Fane 13. Nøgletal'!C23+G24*'Fane 13. Nøgletal'!C24</f>
        <v>92080.791725151415</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98" t="s">
        <v>119</v>
      </c>
      <c r="C28" s="99"/>
      <c r="D28" s="99"/>
      <c r="E28" s="99"/>
      <c r="F28" s="99"/>
      <c r="G28" s="99"/>
      <c r="H28" s="100"/>
      <c r="I28" s="1"/>
    </row>
    <row r="29" spans="1:9" x14ac:dyDescent="0.25">
      <c r="A29" s="1"/>
      <c r="B29" s="101" t="s">
        <v>64</v>
      </c>
      <c r="C29" s="102"/>
      <c r="D29" s="102"/>
      <c r="E29" s="102"/>
      <c r="F29" s="103"/>
      <c r="G29" s="22">
        <f>(G23+G24-G25)*(1+'Fane 13. Nøgletal'!C13)</f>
        <v>9799714.9225283377</v>
      </c>
      <c r="H29" s="14" t="s">
        <v>3</v>
      </c>
      <c r="I29" s="1"/>
    </row>
    <row r="30" spans="1:9" x14ac:dyDescent="0.25">
      <c r="A30" s="1"/>
      <c r="B30" s="101" t="s">
        <v>113</v>
      </c>
      <c r="C30" s="102"/>
      <c r="D30" s="102"/>
      <c r="E30" s="102"/>
      <c r="F30" s="103"/>
      <c r="G30" s="47">
        <v>124098.47824500001</v>
      </c>
      <c r="H30" s="14" t="s">
        <v>3</v>
      </c>
      <c r="I30" s="1"/>
    </row>
    <row r="31" spans="1:9" x14ac:dyDescent="0.25">
      <c r="A31" s="1"/>
      <c r="B31" s="101" t="s">
        <v>120</v>
      </c>
      <c r="C31" s="102"/>
      <c r="D31" s="102"/>
      <c r="E31" s="102"/>
      <c r="F31" s="103"/>
      <c r="G31" s="22">
        <f>(G29+G30)*'Fane 13. Nøgletal'!C25</f>
        <v>272904.86852126679</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98" t="s">
        <v>124</v>
      </c>
      <c r="C34" s="99"/>
      <c r="D34" s="99"/>
      <c r="E34" s="99"/>
      <c r="F34" s="99"/>
      <c r="G34" s="99"/>
      <c r="H34" s="100"/>
      <c r="I34" s="1"/>
    </row>
    <row r="35" spans="1:9" x14ac:dyDescent="0.25">
      <c r="A35" s="1"/>
      <c r="B35" s="101" t="s">
        <v>67</v>
      </c>
      <c r="C35" s="102"/>
      <c r="D35" s="102"/>
      <c r="E35" s="102"/>
      <c r="F35" s="103"/>
      <c r="G35" s="22">
        <f>(G29+G30-G31)*(1+'Fane 13. Nøgletal'!C13)</f>
        <v>9768649.6163455453</v>
      </c>
      <c r="H35" s="14" t="s">
        <v>3</v>
      </c>
      <c r="I35" s="1"/>
    </row>
    <row r="36" spans="1:9" x14ac:dyDescent="0.25">
      <c r="A36" s="1"/>
      <c r="B36" s="101" t="s">
        <v>129</v>
      </c>
      <c r="C36" s="102"/>
      <c r="D36" s="102"/>
      <c r="E36" s="102"/>
      <c r="F36" s="103"/>
      <c r="G36" s="22">
        <v>144840.23435121003</v>
      </c>
      <c r="H36" s="14" t="s">
        <v>3</v>
      </c>
      <c r="I36" s="1"/>
    </row>
    <row r="37" spans="1:9" x14ac:dyDescent="0.25">
      <c r="A37" s="1"/>
      <c r="B37" s="101" t="s">
        <v>125</v>
      </c>
      <c r="C37" s="102"/>
      <c r="D37" s="102"/>
      <c r="E37" s="102"/>
      <c r="F37" s="103"/>
      <c r="G37" s="22">
        <f>G35*'Fane 13. Nøgletal'!C25+G36*'Fane 13. Nøgletal'!C26</f>
        <v>270781.49991790042</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98" t="s">
        <v>159</v>
      </c>
      <c r="C40" s="99"/>
      <c r="D40" s="99"/>
      <c r="E40" s="99"/>
      <c r="F40" s="99"/>
      <c r="G40" s="99"/>
      <c r="H40" s="100"/>
      <c r="I40" s="1"/>
    </row>
    <row r="41" spans="1:9" x14ac:dyDescent="0.25">
      <c r="A41" s="1"/>
      <c r="B41" s="101" t="s">
        <v>66</v>
      </c>
      <c r="C41" s="102"/>
      <c r="D41" s="102"/>
      <c r="E41" s="102"/>
      <c r="F41" s="103"/>
      <c r="G41" s="22">
        <f>(G35+G36-G37)*(1+'Fane 13. Nøgletal'!C15)</f>
        <v>9985988.7680665832</v>
      </c>
      <c r="H41" s="14" t="s">
        <v>3</v>
      </c>
      <c r="I41" s="1"/>
    </row>
    <row r="42" spans="1:9" x14ac:dyDescent="0.25">
      <c r="A42" s="1"/>
      <c r="B42" s="101" t="s">
        <v>169</v>
      </c>
      <c r="C42" s="102"/>
      <c r="D42" s="102"/>
      <c r="E42" s="102"/>
      <c r="F42" s="103"/>
      <c r="G42" s="9">
        <v>19953.255232800002</v>
      </c>
      <c r="H42" s="14" t="s">
        <v>3</v>
      </c>
      <c r="I42" s="1"/>
    </row>
    <row r="43" spans="1:9" x14ac:dyDescent="0.25">
      <c r="A43" s="1"/>
      <c r="B43" s="101" t="s">
        <v>65</v>
      </c>
      <c r="C43" s="102"/>
      <c r="D43" s="102"/>
      <c r="E43" s="102"/>
      <c r="F43" s="103"/>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98" t="s">
        <v>160</v>
      </c>
      <c r="C46" s="99"/>
      <c r="D46" s="99"/>
      <c r="E46" s="99"/>
      <c r="F46" s="99"/>
      <c r="G46" s="99"/>
      <c r="H46" s="100"/>
      <c r="I46" s="1"/>
    </row>
    <row r="47" spans="1:9" x14ac:dyDescent="0.25">
      <c r="A47" s="1"/>
      <c r="B47" s="101" t="s">
        <v>114</v>
      </c>
      <c r="C47" s="102"/>
      <c r="D47" s="102"/>
      <c r="E47" s="102"/>
      <c r="F47" s="103"/>
      <c r="G47" s="22">
        <f>(G41+G42-G43)*(1+'Fane 13. Nøgletal'!C15)</f>
        <v>10362153.559328841</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210964.03238400002</v>
      </c>
      <c r="H48" s="14" t="s">
        <v>3</v>
      </c>
      <c r="I48" s="1"/>
    </row>
    <row r="49" spans="1:9" x14ac:dyDescent="0.25">
      <c r="A49" s="1"/>
      <c r="B49" s="101" t="s">
        <v>211</v>
      </c>
      <c r="C49" s="102"/>
      <c r="D49" s="102"/>
      <c r="E49" s="102"/>
      <c r="F49" s="103"/>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98" t="s">
        <v>130</v>
      </c>
      <c r="C52" s="99"/>
      <c r="D52" s="99"/>
      <c r="E52" s="99"/>
      <c r="F52" s="99"/>
      <c r="G52" s="99"/>
      <c r="H52" s="100"/>
      <c r="I52" s="1"/>
    </row>
    <row r="53" spans="1:9" x14ac:dyDescent="0.25">
      <c r="A53" s="1"/>
      <c r="B53" s="101" t="s">
        <v>131</v>
      </c>
      <c r="C53" s="102"/>
      <c r="D53" s="102"/>
      <c r="E53" s="102"/>
      <c r="F53" s="103"/>
      <c r="G53" s="22">
        <f>(G47+G48-G49)*(1+'Fane 13. Nøgletal'!C16)</f>
        <v>11427425.493123239</v>
      </c>
      <c r="H53" s="14" t="s">
        <v>3</v>
      </c>
      <c r="I53" s="1"/>
    </row>
    <row r="54" spans="1:9" x14ac:dyDescent="0.25">
      <c r="A54" s="1"/>
      <c r="B54" s="101" t="s">
        <v>132</v>
      </c>
      <c r="C54" s="102"/>
      <c r="D54" s="102"/>
      <c r="E54" s="102"/>
      <c r="F54" s="103"/>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98" t="s">
        <v>147</v>
      </c>
      <c r="C57" s="99"/>
      <c r="D57" s="99"/>
      <c r="E57" s="99"/>
      <c r="F57" s="99"/>
      <c r="G57" s="99"/>
      <c r="H57" s="100"/>
      <c r="I57" s="1"/>
    </row>
    <row r="58" spans="1:9" x14ac:dyDescent="0.25">
      <c r="A58" s="1"/>
      <c r="B58" s="101" t="s">
        <v>148</v>
      </c>
      <c r="C58" s="102"/>
      <c r="D58" s="102"/>
      <c r="E58" s="102"/>
      <c r="F58" s="103"/>
      <c r="G58" s="22">
        <f>(G53-G54)*(1+'Fane 13. Nøgletal'!C16)</f>
        <v>12350761.472967597</v>
      </c>
      <c r="H58" s="14" t="s">
        <v>3</v>
      </c>
      <c r="I58" s="1"/>
    </row>
    <row r="59" spans="1:9" x14ac:dyDescent="0.25">
      <c r="A59" s="1"/>
      <c r="B59" s="101" t="s">
        <v>149</v>
      </c>
      <c r="C59" s="102"/>
      <c r="D59" s="102"/>
      <c r="E59" s="102"/>
      <c r="F59" s="103"/>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98" t="s">
        <v>223</v>
      </c>
      <c r="C62" s="99"/>
      <c r="D62" s="99"/>
      <c r="E62" s="99"/>
      <c r="F62" s="99"/>
      <c r="G62" s="99"/>
      <c r="H62" s="100"/>
      <c r="I62" s="1"/>
    </row>
    <row r="63" spans="1:9" x14ac:dyDescent="0.25">
      <c r="A63" s="1"/>
      <c r="B63" s="101" t="s">
        <v>224</v>
      </c>
      <c r="C63" s="102"/>
      <c r="D63" s="102"/>
      <c r="E63" s="102"/>
      <c r="F63" s="103"/>
      <c r="G63" s="22">
        <f>(G58-G59)*(1+'Fane 13. Nøgletal'!C16)</f>
        <v>13348702.999983378</v>
      </c>
      <c r="H63" s="14" t="s">
        <v>3</v>
      </c>
      <c r="I63" s="1"/>
    </row>
    <row r="64" spans="1:9" x14ac:dyDescent="0.25">
      <c r="A64" s="1"/>
      <c r="B64" s="101" t="s">
        <v>225</v>
      </c>
      <c r="C64" s="102"/>
      <c r="D64" s="102"/>
      <c r="E64" s="102"/>
      <c r="F64" s="103"/>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LtRTQeDQ4ThBaT5viHVnPIFMJdqOLW+978Lc0g9TSZXk6z+c3g0bRbjQzfiqmb4zBYdzyNXPhtAcEqqP1LispA==" saltValue="e5ij/Mshp1NX3UBVU/Wqsg=="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98" t="s">
        <v>9</v>
      </c>
      <c r="C8" s="99"/>
      <c r="D8" s="99"/>
      <c r="E8" s="99"/>
      <c r="F8" s="99"/>
      <c r="G8" s="100"/>
      <c r="H8" s="1"/>
    </row>
    <row r="9" spans="1:8" x14ac:dyDescent="0.25">
      <c r="A9" s="1"/>
      <c r="B9" s="62" t="s">
        <v>150</v>
      </c>
      <c r="C9" s="63"/>
      <c r="D9" s="63"/>
      <c r="E9" s="63"/>
      <c r="F9" s="64"/>
      <c r="G9" s="51">
        <v>0.02</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dShq/9JVEbIU41tcF834CIeco4mQPVUAhZHtz6AjunUYuKEUy0Qkl8A4UVMoHvGzw4XX+Ko04kakydYu0J9qBg==" saltValue="UVnS8hDqLbZSmWpH9oQBQA=="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2023-11-14T17:09:41Z</dcterms:modified>
</cp:coreProperties>
</file>