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Dragør AS (V08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4" i="19" l="1"/>
  <c r="E14" i="27" l="1"/>
  <c r="E26" i="32" l="1"/>
  <c r="E11" i="11" l="1"/>
  <c r="E10" i="1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40" i="39"/>
  <c r="E41" i="39" s="1"/>
  <c r="C40" i="39"/>
  <c r="C41" i="39" s="1"/>
  <c r="E31" i="39"/>
  <c r="E32" i="39" s="1"/>
  <c r="C31" i="39"/>
  <c r="C32" i="39" s="1"/>
  <c r="E22" i="39"/>
  <c r="E23" i="39" s="1"/>
  <c r="C22" i="39"/>
  <c r="C23" i="39" s="1"/>
  <c r="E13" i="39"/>
  <c r="E14" i="39" s="1"/>
  <c r="C13" i="39"/>
  <c r="C14" i="39" s="1"/>
  <c r="C42" i="39" l="1"/>
  <c r="E16" i="23" s="1"/>
  <c r="E42" i="39"/>
  <c r="E17" i="23" s="1"/>
  <c r="C33" i="39"/>
  <c r="E16" i="22" s="1"/>
  <c r="E33" i="39"/>
  <c r="E17" i="22" s="1"/>
  <c r="E24" i="39"/>
  <c r="E18" i="15" s="1"/>
  <c r="C24" i="39"/>
  <c r="E17" i="15" s="1"/>
  <c r="E18" i="23" l="1"/>
  <c r="E15" i="39"/>
  <c r="E21" i="2" s="1"/>
  <c r="E18" i="22"/>
  <c r="C15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2" i="11"/>
  <c r="C10" i="37" s="1"/>
  <c r="C13" i="37" s="1"/>
  <c r="C14" i="37" s="1"/>
  <c r="G12" i="11"/>
  <c r="E11" i="21" l="1"/>
  <c r="C11" i="21"/>
  <c r="E11" i="29"/>
  <c r="C11" i="29"/>
  <c r="C15" i="19"/>
  <c r="E14" i="23" l="1"/>
  <c r="E18" i="2"/>
  <c r="E14" i="22"/>
  <c r="E15" i="15"/>
  <c r="C12" i="21"/>
  <c r="E12" i="21"/>
  <c r="C12" i="29"/>
  <c r="E12" i="29"/>
  <c r="E13" i="2" l="1"/>
  <c r="E12" i="2"/>
  <c r="E12" i="11" l="1"/>
  <c r="E10" i="37" s="1"/>
  <c r="E13" i="37" s="1"/>
  <c r="E14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<sst xmlns="http://schemas.openxmlformats.org/spreadsheetml/2006/main" count="436" uniqueCount="162">
  <si>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</si>
  <si>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</si>
  <si>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</si>
  <si>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</si>
  <si>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</si>
  <si>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</si>
  <si>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</si>
  <si>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</si>
  <si>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</si>
  <si>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</si>
  <si>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</si>
  <si>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</si>
  <si>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</si>
  <si>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</si>
  <si>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</si>
  <si>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</si>
  <si>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</si>
  <si>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</si>
  <si>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</si>
  <si>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</si>
  <si>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</si>
  <si>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</si>
  <si>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</si>
  <si>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</si>
  <si>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</si>
  <si>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</si>
  <si>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</si>
  <si>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</si>
  <si>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</si>
  <si>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</si>
  <si>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</si>
  <si>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</si>
  <si>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</si>
  <si>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</si>
  <si>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</si>
  <si>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</si>
  <si>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</si>
  <si>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</si>
  <si>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</si>
  <si>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</si>
  <si>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</si>
  <si>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</si>
  <si>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</si>
  <si>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</si>
  <si>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</si>
  <si>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</si>
  <si>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</si>
  <si>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</si>
  <si>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</si>
  <si>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</si>
  <si>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</si>
  <si>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</si>
  <si>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</si>
  <si>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</si>
  <si>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</si>
  <si>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</si>
  <si>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</si>
  <si>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</si>
  <si>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</si>
  <si>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</si>
  <si>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</si>
  <si>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</si>
  <si>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</si>
  <si>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</si>
  <si>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</si>
  <si>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</si>
  <si>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</si>
  <si>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</si>
  <si>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</si>
  <si>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</si>
  <si>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</si>
  <si>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</si>
  <si>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</si>
  <si>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</si>
  <si>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</si>
  <si>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</si>
  <si>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</si>
  <si>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</si>
  <si>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</si>
  <si>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</si>
  <si>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</si>
  <si>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</si>
  <si>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</si>
  <si>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</si>
  <si>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</si>
  <si>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</si>
  <si>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</si>
  <si>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</si>
  <si>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</si>
  <si>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</si>
  <si>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</si>
  <si>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</si>
  <si>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</si>
  <si>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</si>
  <si>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</si>
  <si>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</si>
  <si>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</si>
  <si>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</si>
  <si>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</si>
  <si>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</si>
  <si>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</si>
  <si>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</si>
  <si>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</si>
  <si>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</si>
  <si>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</si>
  <si>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</si>
  <si>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</si>
  <si>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</si>
  <si>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</si>
  <si>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</si>
  <si>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</si>
  <si>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</si>
  <si>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</si>
  <si>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</si>
  <si>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</si>
  <si>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</si>
  <si>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</si>
  <si>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</si>
  <si>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</si>
  <si>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</si>
  <si>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</si>
  <si>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</si>
  <si>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</si>
  <si>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</si>
  <si>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</si>
  <si>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</si>
  <si>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</si>
  <si>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</si>
  <si>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</si>
  <si>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</si>
  <si>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</si>
  <si>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</si>
  <si>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</si>
  <si>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</si>
  <si>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</si>
  <si>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</si>
  <si>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</si>
  <si>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</si>
  <si>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</si>
  <si>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</si>
  <si>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</si>
  <si>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</si>
  <si>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</si>
  <si>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</si>
  <si>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</si>
  <si>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</si>
  <si>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</si>
  <si>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</si>
  <si>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</si>
  <si>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</si>
  <si>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</si>
  <si>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</si>
  <si>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</si>
  <si>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</si>
  <si>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</si>
  <si>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</si>
  <si>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</si>
  <si>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engangstillæg</t>
  </si>
  <si>
    <t>SRO anlæg</t>
  </si>
  <si>
    <t>Software</t>
  </si>
  <si>
    <t>10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</si>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</sst>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48</v>
      </c>
      <c r="C8" s="22"/>
      <c r="D8" s="22"/>
      <c r="E8" s="22"/>
      <c r="F8" s="47"/>
      <c r="G8" s="1"/>
    </row>
    <row r="9" spans="1:7" ht="17.25" customHeight="1" x14ac:dyDescent="0.25">
      <c r="A9" s="1"/>
      <c r="B9" s="38" t="s">
        <v>16</v>
      </c>
      <c r="C9" s="38" t="s">
        <v>11</v>
      </c>
      <c r="D9" s="39"/>
      <c r="E9" s="38" t="s">
        <v>31</v>
      </c>
      <c r="F9" s="45"/>
      <c r="G9" s="1"/>
    </row>
    <row r="10" spans="1:7" x14ac:dyDescent="0.25">
      <c r="A10" s="1"/>
      <c r="B10" s="20" t="s">
        <v>119</v>
      </c>
      <c r="C10" s="19">
        <f>'Fane 6. Anlægsprojekter'!F12</f>
        <v>0</v>
      </c>
      <c r="D10" s="12" t="s">
        <v>3</v>
      </c>
      <c r="E10" s="8">
        <f>SUM('Fane 6. Anlægsprojekter'!E12,'Fane 6. Anlægsprojekter'!G12)</f>
        <v>91443.4</v>
      </c>
      <c r="F10" s="12" t="s">
        <v>3</v>
      </c>
      <c r="G10" s="1"/>
    </row>
    <row r="11" spans="1:7" x14ac:dyDescent="0.25">
      <c r="A11" s="1"/>
      <c r="B11" s="34"/>
      <c r="C11" s="19"/>
      <c r="D11" s="12" t="s">
        <v>3</v>
      </c>
      <c r="E11" s="8"/>
      <c r="F11" s="12" t="s">
        <v>3</v>
      </c>
      <c r="G11" s="1"/>
    </row>
    <row r="12" spans="1:7" x14ac:dyDescent="0.25">
      <c r="A12" s="1"/>
      <c r="B12" s="20"/>
      <c r="C12" s="19"/>
      <c r="D12" s="12" t="s">
        <v>3</v>
      </c>
      <c r="E12" s="8"/>
      <c r="F12" s="12" t="s">
        <v>3</v>
      </c>
      <c r="G12" s="1"/>
    </row>
    <row r="13" spans="1:7" x14ac:dyDescent="0.25">
      <c r="A13" s="1"/>
      <c r="B13" s="46" t="s">
        <v>42</v>
      </c>
      <c r="C13" s="10">
        <f>SUM(C10:C12)</f>
        <v>0</v>
      </c>
      <c r="D13" s="11" t="s">
        <v>3</v>
      </c>
      <c r="E13" s="10">
        <f>SUM(E10:E12)</f>
        <v>91443.4</v>
      </c>
      <c r="F13" s="11" t="s">
        <v>3</v>
      </c>
      <c r="G13" s="1"/>
    </row>
    <row r="14" spans="1:7" x14ac:dyDescent="0.25">
      <c r="A14" s="1"/>
      <c r="B14" s="46" t="s">
        <v>103</v>
      </c>
      <c r="C14" s="10">
        <f>C13*(1+'Fane 10. Nøgletal'!C13)</f>
        <v>0</v>
      </c>
      <c r="D14" s="11" t="s">
        <v>3</v>
      </c>
      <c r="E14" s="10">
        <f>E13*(1+'Fane 10. Nøgletal'!C13)</f>
        <v>92559.009479999993</v>
      </c>
      <c r="F14" s="11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8" t="s">
        <v>16</v>
      </c>
      <c r="C9" s="38" t="s">
        <v>11</v>
      </c>
      <c r="D9" s="39"/>
      <c r="E9" s="38" t="s">
        <v>31</v>
      </c>
      <c r="F9" s="45"/>
      <c r="G9" s="1"/>
    </row>
    <row r="10" spans="1:7" x14ac:dyDescent="0.25">
      <c r="A10" s="1"/>
      <c r="B10" s="20" t="s">
        <v>157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34"/>
      <c r="C11" s="19"/>
      <c r="D11" s="12" t="s">
        <v>3</v>
      </c>
      <c r="E11" s="8"/>
      <c r="F11" s="12" t="s">
        <v>3</v>
      </c>
      <c r="G11" s="1"/>
    </row>
    <row r="12" spans="1:7" x14ac:dyDescent="0.25">
      <c r="A12" s="1"/>
      <c r="B12" s="20"/>
      <c r="C12" s="19"/>
      <c r="D12" s="12" t="s">
        <v>3</v>
      </c>
      <c r="E12" s="8"/>
      <c r="F12" s="12" t="s">
        <v>3</v>
      </c>
      <c r="G12" s="1"/>
    </row>
    <row r="13" spans="1:7" x14ac:dyDescent="0.25">
      <c r="A13" s="1"/>
      <c r="B13" s="46" t="s">
        <v>104</v>
      </c>
      <c r="C13" s="10">
        <f>SUM(C10:C12)</f>
        <v>0</v>
      </c>
      <c r="D13" s="11" t="s">
        <v>3</v>
      </c>
      <c r="E13" s="10">
        <f>SUM(E10:E12)</f>
        <v>0</v>
      </c>
      <c r="F13" s="11" t="s">
        <v>3</v>
      </c>
      <c r="G13" s="1"/>
    </row>
    <row r="14" spans="1:7" x14ac:dyDescent="0.25">
      <c r="A14" s="1"/>
      <c r="B14" s="23" t="s">
        <v>72</v>
      </c>
      <c r="C14" s="24">
        <f>-C13*'Fane 10. Nøgletal'!C18</f>
        <v>0</v>
      </c>
      <c r="D14" s="25" t="s">
        <v>3</v>
      </c>
      <c r="E14" s="24">
        <f>-E13*'Fane 10. Nøgletal'!C18</f>
        <v>0</v>
      </c>
      <c r="F14" s="25" t="s">
        <v>3</v>
      </c>
      <c r="G14" s="1"/>
    </row>
    <row r="15" spans="1:7" x14ac:dyDescent="0.25">
      <c r="A15" s="1"/>
      <c r="B15" s="46" t="s">
        <v>68</v>
      </c>
      <c r="C15" s="10">
        <f>SUM(C13:C14)*(1+'Fane 10. Nøgletal'!C13)^2</f>
        <v>0</v>
      </c>
      <c r="D15" s="11" t="s">
        <v>3</v>
      </c>
      <c r="E15" s="10">
        <f>SUM(E13:E14)*(1+'Fane 10. Nøgletal'!C13)^2</f>
        <v>0</v>
      </c>
      <c r="F15" s="11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1" t="s">
        <v>66</v>
      </c>
      <c r="C17" s="82"/>
      <c r="D17" s="82"/>
      <c r="E17" s="82"/>
      <c r="F17" s="83"/>
      <c r="G17" s="1"/>
    </row>
    <row r="18" spans="1:7" x14ac:dyDescent="0.25">
      <c r="A18" s="1"/>
      <c r="B18" s="38" t="s">
        <v>16</v>
      </c>
      <c r="C18" s="38" t="s">
        <v>11</v>
      </c>
      <c r="D18" s="39"/>
      <c r="E18" s="38" t="s">
        <v>31</v>
      </c>
      <c r="F18" s="45"/>
      <c r="G18" s="1"/>
    </row>
    <row r="19" spans="1:7" x14ac:dyDescent="0.25">
      <c r="A19" s="1"/>
      <c r="B19" s="20" t="s">
        <v>157</v>
      </c>
      <c r="C19" s="19">
        <v>0</v>
      </c>
      <c r="D19" s="12" t="s">
        <v>3</v>
      </c>
      <c r="E19" s="8">
        <v>0</v>
      </c>
      <c r="F19" s="12" t="s">
        <v>3</v>
      </c>
      <c r="G19" s="1"/>
    </row>
    <row r="20" spans="1:7" x14ac:dyDescent="0.25">
      <c r="A20" s="1"/>
      <c r="B20" s="34"/>
      <c r="C20" s="19"/>
      <c r="D20" s="12" t="s">
        <v>3</v>
      </c>
      <c r="E20" s="8"/>
      <c r="F20" s="12" t="s">
        <v>3</v>
      </c>
      <c r="G20" s="1"/>
    </row>
    <row r="21" spans="1:7" x14ac:dyDescent="0.25">
      <c r="A21" s="1"/>
      <c r="B21" s="20"/>
      <c r="C21" s="19"/>
      <c r="D21" s="12" t="s">
        <v>3</v>
      </c>
      <c r="E21" s="8"/>
      <c r="F21" s="12" t="s">
        <v>3</v>
      </c>
      <c r="G21" s="1"/>
    </row>
    <row r="22" spans="1:7" x14ac:dyDescent="0.25">
      <c r="A22" s="1"/>
      <c r="B22" s="46" t="s">
        <v>104</v>
      </c>
      <c r="C22" s="10">
        <f>SUM(C19:C21)</f>
        <v>0</v>
      </c>
      <c r="D22" s="11" t="s">
        <v>3</v>
      </c>
      <c r="E22" s="10">
        <f>SUM(E19:E21)</f>
        <v>0</v>
      </c>
      <c r="F22" s="11" t="s">
        <v>3</v>
      </c>
      <c r="G22" s="1"/>
    </row>
    <row r="23" spans="1:7" x14ac:dyDescent="0.25">
      <c r="A23" s="1"/>
      <c r="B23" s="23" t="s">
        <v>72</v>
      </c>
      <c r="C23" s="24">
        <f>-C22*'Fane 10. Nøgletal'!C18</f>
        <v>0</v>
      </c>
      <c r="D23" s="25" t="s">
        <v>3</v>
      </c>
      <c r="E23" s="24">
        <f>-E22*'Fane 10. Nøgletal'!C18</f>
        <v>0</v>
      </c>
      <c r="F23" s="25" t="s">
        <v>3</v>
      </c>
      <c r="G23" s="1"/>
    </row>
    <row r="24" spans="1:7" x14ac:dyDescent="0.25">
      <c r="A24" s="1"/>
      <c r="B24" s="46" t="s">
        <v>105</v>
      </c>
      <c r="C24" s="10">
        <f>SUM(C22:C23)*(1+'Fane 10. Nøgletal'!C13)^3</f>
        <v>0</v>
      </c>
      <c r="D24" s="11" t="s">
        <v>3</v>
      </c>
      <c r="E24" s="10">
        <f>SUM(E22:E23)*(1+'Fane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67</v>
      </c>
      <c r="C26" s="82"/>
      <c r="D26" s="82"/>
      <c r="E26" s="82"/>
      <c r="F26" s="83"/>
      <c r="G26" s="1"/>
    </row>
    <row r="27" spans="1:7" x14ac:dyDescent="0.25">
      <c r="A27" s="1"/>
      <c r="B27" s="38" t="s">
        <v>16</v>
      </c>
      <c r="C27" s="38" t="s">
        <v>11</v>
      </c>
      <c r="D27" s="39"/>
      <c r="E27" s="38" t="s">
        <v>31</v>
      </c>
      <c r="F27" s="45"/>
      <c r="G27" s="1"/>
    </row>
    <row r="28" spans="1:7" x14ac:dyDescent="0.25">
      <c r="A28" s="1"/>
      <c r="B28" s="20" t="s">
        <v>157</v>
      </c>
      <c r="C28" s="19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34"/>
      <c r="C29" s="19"/>
      <c r="D29" s="12" t="s">
        <v>3</v>
      </c>
      <c r="E29" s="8"/>
      <c r="F29" s="12" t="s">
        <v>3</v>
      </c>
      <c r="G29" s="1"/>
    </row>
    <row r="30" spans="1:7" x14ac:dyDescent="0.25">
      <c r="A30" s="1"/>
      <c r="B30" s="20"/>
      <c r="C30" s="19"/>
      <c r="D30" s="12" t="s">
        <v>3</v>
      </c>
      <c r="E30" s="8"/>
      <c r="F30" s="12" t="s">
        <v>3</v>
      </c>
      <c r="G30" s="1"/>
    </row>
    <row r="31" spans="1:7" x14ac:dyDescent="0.25">
      <c r="A31" s="1"/>
      <c r="B31" s="46" t="s">
        <v>104</v>
      </c>
      <c r="C31" s="10">
        <f>SUM(C28:C30)</f>
        <v>0</v>
      </c>
      <c r="D31" s="11" t="s">
        <v>3</v>
      </c>
      <c r="E31" s="10">
        <f>SUM(E28:E30)</f>
        <v>0</v>
      </c>
      <c r="F31" s="11" t="s">
        <v>3</v>
      </c>
      <c r="G31" s="1"/>
    </row>
    <row r="32" spans="1:7" x14ac:dyDescent="0.25">
      <c r="A32" s="1"/>
      <c r="B32" s="23" t="s">
        <v>72</v>
      </c>
      <c r="C32" s="24">
        <f>-C31*'Fane 10. Nøgletal'!C18</f>
        <v>0</v>
      </c>
      <c r="D32" s="25" t="s">
        <v>3</v>
      </c>
      <c r="E32" s="24">
        <f>-E31*'Fane 10. Nøgletal'!C18</f>
        <v>0</v>
      </c>
      <c r="F32" s="25" t="s">
        <v>3</v>
      </c>
      <c r="G32" s="1"/>
    </row>
    <row r="33" spans="1:7" x14ac:dyDescent="0.25">
      <c r="A33" s="1"/>
      <c r="B33" s="46" t="s">
        <v>112</v>
      </c>
      <c r="C33" s="10">
        <f>SUM(C31:C32)*(1+'Fane 10. Nøgletal'!C13)^4</f>
        <v>0</v>
      </c>
      <c r="D33" s="11" t="s">
        <v>3</v>
      </c>
      <c r="E33" s="10">
        <f>SUM(E31:E32)*(1+'Fane 10. Nøgletal'!C13)^4</f>
        <v>0</v>
      </c>
      <c r="F33" s="11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1" t="s">
        <v>114</v>
      </c>
      <c r="C35" s="82"/>
      <c r="D35" s="82"/>
      <c r="E35" s="82"/>
      <c r="F35" s="83"/>
      <c r="G35" s="1"/>
    </row>
    <row r="36" spans="1:7" x14ac:dyDescent="0.25">
      <c r="A36" s="1"/>
      <c r="B36" s="38" t="s">
        <v>16</v>
      </c>
      <c r="C36" s="38" t="s">
        <v>11</v>
      </c>
      <c r="D36" s="39"/>
      <c r="E36" s="38" t="s">
        <v>31</v>
      </c>
      <c r="F36" s="45"/>
      <c r="G36" s="1"/>
    </row>
    <row r="37" spans="1:7" x14ac:dyDescent="0.25">
      <c r="A37" s="1"/>
      <c r="B37" s="20" t="s">
        <v>157</v>
      </c>
      <c r="C37" s="19">
        <v>0</v>
      </c>
      <c r="D37" s="12" t="s">
        <v>3</v>
      </c>
      <c r="E37" s="8">
        <v>0</v>
      </c>
      <c r="F37" s="12" t="s">
        <v>3</v>
      </c>
      <c r="G37" s="1"/>
    </row>
    <row r="38" spans="1:7" x14ac:dyDescent="0.25">
      <c r="A38" s="1"/>
      <c r="B38" s="34"/>
      <c r="C38" s="19"/>
      <c r="D38" s="12" t="s">
        <v>3</v>
      </c>
      <c r="E38" s="8"/>
      <c r="F38" s="12" t="s">
        <v>3</v>
      </c>
      <c r="G38" s="1"/>
    </row>
    <row r="39" spans="1:7" x14ac:dyDescent="0.25">
      <c r="A39" s="1"/>
      <c r="B39" s="20"/>
      <c r="C39" s="19"/>
      <c r="D39" s="12" t="s">
        <v>3</v>
      </c>
      <c r="E39" s="8"/>
      <c r="F39" s="12" t="s">
        <v>3</v>
      </c>
      <c r="G39" s="1"/>
    </row>
    <row r="40" spans="1:7" x14ac:dyDescent="0.25">
      <c r="A40" s="1"/>
      <c r="B40" s="46" t="s">
        <v>104</v>
      </c>
      <c r="C40" s="10">
        <f>SUM(C37:C39)</f>
        <v>0</v>
      </c>
      <c r="D40" s="11" t="s">
        <v>3</v>
      </c>
      <c r="E40" s="10">
        <f>SUM(E37:E39)</f>
        <v>0</v>
      </c>
      <c r="F40" s="11" t="s">
        <v>3</v>
      </c>
      <c r="G40" s="1"/>
    </row>
    <row r="41" spans="1:7" x14ac:dyDescent="0.25">
      <c r="A41" s="1"/>
      <c r="B41" s="23" t="s">
        <v>72</v>
      </c>
      <c r="C41" s="24">
        <f>-C40*'Fane 10. Nøgletal'!C18</f>
        <v>0</v>
      </c>
      <c r="D41" s="25" t="s">
        <v>3</v>
      </c>
      <c r="E41" s="24">
        <f>-E40*'Fane 10. Nøgletal'!C18</f>
        <v>0</v>
      </c>
      <c r="F41" s="25" t="s">
        <v>3</v>
      </c>
      <c r="G41" s="1"/>
    </row>
    <row r="42" spans="1:7" x14ac:dyDescent="0.25">
      <c r="A42" s="1"/>
      <c r="B42" s="46" t="s">
        <v>113</v>
      </c>
      <c r="C42" s="10">
        <f>SUM(C40:C41)*(1+'Fane 10. Nøgletal'!C13)^5</f>
        <v>0</v>
      </c>
      <c r="D42" s="11" t="s">
        <v>3</v>
      </c>
      <c r="E42" s="10">
        <f>SUM(E40:E41)*(1+'Fane 10. Nøgletal'!C13)^5</f>
        <v>0</v>
      </c>
      <c r="F42" s="11" t="s">
        <v>3</v>
      </c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7:F17"/>
    <mergeCell ref="B26:F26"/>
    <mergeCell ref="B35:F3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4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4" t="s">
        <v>17</v>
      </c>
      <c r="C9" s="44" t="s">
        <v>11</v>
      </c>
      <c r="D9" s="45"/>
      <c r="E9" s="44" t="s">
        <v>31</v>
      </c>
      <c r="F9" s="45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4" t="s">
        <v>17</v>
      </c>
      <c r="C15" s="44" t="s">
        <v>11</v>
      </c>
      <c r="D15" s="45"/>
      <c r="E15" s="44" t="s">
        <v>31</v>
      </c>
      <c r="F15" s="45"/>
      <c r="G15" s="1"/>
    </row>
    <row r="16" spans="1:7" x14ac:dyDescent="0.2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4" t="s">
        <v>17</v>
      </c>
      <c r="C21" s="44" t="s">
        <v>11</v>
      </c>
      <c r="D21" s="45"/>
      <c r="E21" s="44" t="s">
        <v>31</v>
      </c>
      <c r="F21" s="45"/>
      <c r="G21" s="1"/>
    </row>
    <row r="22" spans="1:7" x14ac:dyDescent="0.2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4" t="s">
        <v>17</v>
      </c>
      <c r="C27" s="44" t="s">
        <v>11</v>
      </c>
      <c r="D27" s="45"/>
      <c r="E27" s="44" t="s">
        <v>31</v>
      </c>
      <c r="F27" s="45"/>
      <c r="G27" s="1"/>
    </row>
    <row r="28" spans="1:7" x14ac:dyDescent="0.2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144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14</v>
      </c>
      <c r="C8" s="47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6"/>
      <c r="C14" s="47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6" t="s">
        <v>72</v>
      </c>
      <c r="C17" s="47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13</v>
      </c>
      <c r="C8" s="41"/>
      <c r="D8" s="41"/>
      <c r="E8" s="41"/>
      <c r="F8" s="41"/>
      <c r="G8" s="1"/>
    </row>
    <row r="9" spans="1:7" x14ac:dyDescent="0.25">
      <c r="A9" s="1"/>
      <c r="B9" s="36" t="s">
        <v>26</v>
      </c>
      <c r="C9" s="36"/>
      <c r="D9" s="36"/>
      <c r="E9" s="7">
        <f>'Fane 3. Omkostninger i ØR2020'!E16</f>
        <v>8169812.2444920009</v>
      </c>
      <c r="F9" s="36" t="s">
        <v>3</v>
      </c>
      <c r="G9" s="1"/>
    </row>
    <row r="10" spans="1:7" ht="17.100000000000001" customHeight="1" x14ac:dyDescent="0.25">
      <c r="A10" s="1"/>
      <c r="B10" s="36" t="s">
        <v>120</v>
      </c>
      <c r="C10" s="36"/>
      <c r="D10" s="36"/>
      <c r="E10" s="7">
        <v>-103768.9560131154</v>
      </c>
      <c r="F10" s="36" t="s">
        <v>3</v>
      </c>
      <c r="G10" s="1"/>
    </row>
    <row r="11" spans="1:7" ht="17.100000000000001" customHeight="1" x14ac:dyDescent="0.25">
      <c r="A11" s="1"/>
      <c r="B11" s="27" t="s">
        <v>80</v>
      </c>
      <c r="C11" s="36"/>
      <c r="D11" s="36"/>
      <c r="E11" s="7">
        <f>'Fane 7.1. Varige tillæg'!C14+'Fane 7.1. Varige tillæg'!E14</f>
        <v>92559.009479999993</v>
      </c>
      <c r="F11" s="36" t="s">
        <v>3</v>
      </c>
      <c r="G11" s="1"/>
    </row>
    <row r="12" spans="1:7" ht="17.100000000000001" customHeight="1" x14ac:dyDescent="0.25">
      <c r="A12" s="1"/>
      <c r="B12" s="27" t="s">
        <v>82</v>
      </c>
      <c r="C12" s="36"/>
      <c r="D12" s="36"/>
      <c r="E12" s="8">
        <f>-('Fane 9. Bortfald'!C12+'Fane 9. Bortfald'!E12)</f>
        <v>0</v>
      </c>
      <c r="F12" s="36" t="s">
        <v>3</v>
      </c>
      <c r="G12" s="1"/>
    </row>
    <row r="13" spans="1:7" ht="17.100000000000001" customHeight="1" x14ac:dyDescent="0.25">
      <c r="A13" s="1"/>
      <c r="B13" s="27" t="s">
        <v>89</v>
      </c>
      <c r="C13" s="36"/>
      <c r="D13" s="36"/>
      <c r="E13" s="8">
        <f>'Fane 8. Tilknyttet virksomhed'!C12+'Fane 8. Tilknyttet virksomhed'!E12</f>
        <v>0</v>
      </c>
      <c r="F13" s="36" t="s">
        <v>3</v>
      </c>
      <c r="G13" s="1"/>
    </row>
    <row r="14" spans="1:7" ht="17.100000000000001" customHeight="1" x14ac:dyDescent="0.25">
      <c r="A14" s="1"/>
      <c r="B14" s="27" t="s">
        <v>18</v>
      </c>
      <c r="C14" s="36"/>
      <c r="D14" s="36"/>
      <c r="E14" s="8">
        <f>SUM(E9:E13)*'Fane 10. Nøgletal'!C13</f>
        <v>99534.948035098409</v>
      </c>
      <c r="F14" s="36" t="s">
        <v>3</v>
      </c>
      <c r="G14" s="1"/>
    </row>
    <row r="15" spans="1:7" ht="17.100000000000001" customHeight="1" x14ac:dyDescent="0.25">
      <c r="A15" s="1"/>
      <c r="B15" s="27" t="s">
        <v>72</v>
      </c>
      <c r="C15" s="36"/>
      <c r="D15" s="36"/>
      <c r="E15" s="8">
        <f>-SUM(E9:E14)*'Fane 10. Nøgletal'!C18</f>
        <v>-140388.33318189773</v>
      </c>
      <c r="F15" s="36" t="s">
        <v>3</v>
      </c>
      <c r="G15" s="1"/>
    </row>
    <row r="16" spans="1:7" ht="15" customHeight="1" x14ac:dyDescent="0.25">
      <c r="A16" s="1"/>
      <c r="B16" s="43" t="s">
        <v>20</v>
      </c>
      <c r="C16" s="40"/>
      <c r="D16" s="40"/>
      <c r="E16" s="9">
        <f>SUM(E9:E15)</f>
        <v>8117748.9128120858</v>
      </c>
      <c r="F16" s="42" t="s">
        <v>3</v>
      </c>
      <c r="G16" s="1"/>
    </row>
    <row r="17" spans="1:7" ht="15" customHeight="1" x14ac:dyDescent="0.25">
      <c r="A17" s="1"/>
      <c r="B17" s="41" t="s">
        <v>12</v>
      </c>
      <c r="C17" s="41"/>
      <c r="D17" s="41"/>
      <c r="E17" s="41"/>
      <c r="F17" s="41"/>
      <c r="G17" s="1"/>
    </row>
    <row r="18" spans="1:7" ht="15" customHeight="1" x14ac:dyDescent="0.25">
      <c r="A18" s="1"/>
      <c r="B18" s="42" t="s">
        <v>12</v>
      </c>
      <c r="C18" s="42"/>
      <c r="D18" s="42"/>
      <c r="E18" s="9">
        <f>'Fane 4. Ikke-påvirkelige omk.'!C15</f>
        <v>6456121.7722923597</v>
      </c>
      <c r="F18" s="42" t="s">
        <v>3</v>
      </c>
      <c r="G18" s="1"/>
    </row>
    <row r="19" spans="1:7" ht="15" customHeight="1" x14ac:dyDescent="0.25">
      <c r="A19" s="1"/>
      <c r="B19" s="41" t="s">
        <v>52</v>
      </c>
      <c r="C19" s="41"/>
      <c r="D19" s="41"/>
      <c r="E19" s="41"/>
      <c r="F19" s="41"/>
      <c r="G19" s="1"/>
    </row>
    <row r="20" spans="1:7" ht="15" customHeight="1" x14ac:dyDescent="0.25">
      <c r="A20" s="1"/>
      <c r="B20" s="27" t="s">
        <v>49</v>
      </c>
      <c r="C20" s="36"/>
      <c r="D20" s="36"/>
      <c r="E20" s="8">
        <f>'Fane 7.2. Engangstillæg'!C15</f>
        <v>0</v>
      </c>
      <c r="F20" s="36" t="s">
        <v>3</v>
      </c>
      <c r="G20" s="1"/>
    </row>
    <row r="21" spans="1:7" x14ac:dyDescent="0.25">
      <c r="A21" s="1"/>
      <c r="B21" s="27" t="s">
        <v>50</v>
      </c>
      <c r="C21" s="36"/>
      <c r="D21" s="36"/>
      <c r="E21" s="8">
        <f>'Fane 7.2. Engangstillæg'!E15</f>
        <v>0</v>
      </c>
      <c r="F21" s="36" t="s">
        <v>3</v>
      </c>
      <c r="G21" s="1"/>
    </row>
    <row r="22" spans="1:7" ht="15" customHeight="1" x14ac:dyDescent="0.25">
      <c r="A22" s="1"/>
      <c r="B22" s="43" t="s">
        <v>53</v>
      </c>
      <c r="C22" s="40"/>
      <c r="D22" s="40"/>
      <c r="E22" s="9">
        <f>SUM(E20:E21)</f>
        <v>0</v>
      </c>
      <c r="F22" s="42" t="s">
        <v>3</v>
      </c>
      <c r="G22" s="1"/>
    </row>
    <row r="23" spans="1:7" x14ac:dyDescent="0.25">
      <c r="A23" s="1"/>
      <c r="B23" s="41" t="s">
        <v>124</v>
      </c>
      <c r="C23" s="41"/>
      <c r="D23" s="41"/>
      <c r="E23" s="41"/>
      <c r="F23" s="41"/>
      <c r="G23" s="1"/>
    </row>
    <row r="24" spans="1:7" x14ac:dyDescent="0.25">
      <c r="A24" s="1"/>
      <c r="B24" s="43" t="s">
        <v>36</v>
      </c>
      <c r="C24" s="40"/>
      <c r="D24" s="40"/>
      <c r="E24" s="9">
        <f>'Fane 5. Kontrol af ØR2019'!E42</f>
        <v>238735.04603497213</v>
      </c>
      <c r="F24" s="42" t="s">
        <v>3</v>
      </c>
      <c r="G24" s="1"/>
    </row>
    <row r="25" spans="1:7" x14ac:dyDescent="0.25">
      <c r="A25" s="1"/>
      <c r="B25" s="43" t="s">
        <v>125</v>
      </c>
      <c r="C25" s="40"/>
      <c r="D25" s="40"/>
      <c r="E25" s="9">
        <f>'Fane 5. Kontrol af ØR2019'!E43</f>
        <v>-883037.3367686132</v>
      </c>
      <c r="F25" s="42" t="s">
        <v>3</v>
      </c>
      <c r="G25" s="1"/>
    </row>
    <row r="26" spans="1:7" x14ac:dyDescent="0.25">
      <c r="A26" s="1"/>
      <c r="B26" s="41" t="s">
        <v>28</v>
      </c>
      <c r="C26" s="41"/>
      <c r="D26" s="41"/>
      <c r="E26" s="10">
        <f>SUM(E16,E18,E22,E24,E25)</f>
        <v>13929568.394370802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13</v>
      </c>
      <c r="C8" s="41"/>
      <c r="D8" s="41"/>
      <c r="E8" s="41"/>
      <c r="F8" s="41"/>
      <c r="G8" s="1"/>
    </row>
    <row r="9" spans="1:7" ht="15" customHeight="1" x14ac:dyDescent="0.25">
      <c r="A9" s="1"/>
      <c r="B9" s="36" t="s">
        <v>27</v>
      </c>
      <c r="C9" s="36"/>
      <c r="D9" s="36"/>
      <c r="E9" s="7">
        <f>'Fane 2.1. Økonomisk ramme 2021'!E16</f>
        <v>8117748.9128120858</v>
      </c>
      <c r="F9" s="36" t="s">
        <v>3</v>
      </c>
      <c r="G9" s="1"/>
    </row>
    <row r="10" spans="1:7" ht="15" customHeight="1" x14ac:dyDescent="0.25">
      <c r="A10" s="1"/>
      <c r="B10" s="27" t="s">
        <v>82</v>
      </c>
      <c r="C10" s="36"/>
      <c r="D10" s="36"/>
      <c r="E10" s="7">
        <f>-('Fane 9. Bortfald'!C18+'Fane 9. Bortfald'!E18)</f>
        <v>0</v>
      </c>
      <c r="F10" s="36" t="s">
        <v>3</v>
      </c>
      <c r="G10" s="1"/>
    </row>
    <row r="11" spans="1:7" ht="15" customHeight="1" x14ac:dyDescent="0.25">
      <c r="A11" s="1"/>
      <c r="B11" s="37" t="s">
        <v>18</v>
      </c>
      <c r="C11" s="36"/>
      <c r="D11" s="36"/>
      <c r="E11" s="8">
        <f>SUM(E9:E10)*'Fane 10. Nøgletal'!C13</f>
        <v>99036.536736307447</v>
      </c>
      <c r="F11" s="36" t="s">
        <v>3</v>
      </c>
      <c r="G11" s="1"/>
    </row>
    <row r="12" spans="1:7" ht="15" customHeight="1" x14ac:dyDescent="0.25">
      <c r="A12" s="1"/>
      <c r="B12" s="37" t="s">
        <v>72</v>
      </c>
      <c r="C12" s="36"/>
      <c r="D12" s="36"/>
      <c r="E12" s="8">
        <f>-SUM(E9:E11)*'Fane 10. Nøgletal'!C18</f>
        <v>-139685.35264232269</v>
      </c>
      <c r="F12" s="36" t="s">
        <v>3</v>
      </c>
      <c r="G12" s="1"/>
    </row>
    <row r="13" spans="1:7" ht="15" customHeight="1" x14ac:dyDescent="0.25">
      <c r="A13" s="1"/>
      <c r="B13" s="40" t="s">
        <v>20</v>
      </c>
      <c r="C13" s="40"/>
      <c r="D13" s="40"/>
      <c r="E13" s="9">
        <f>SUM(E9:E12)</f>
        <v>8077100.0969060706</v>
      </c>
      <c r="F13" s="42" t="s">
        <v>3</v>
      </c>
      <c r="G13" s="1"/>
    </row>
    <row r="14" spans="1:7" x14ac:dyDescent="0.25">
      <c r="A14" s="1"/>
      <c r="B14" s="41" t="s">
        <v>12</v>
      </c>
      <c r="C14" s="41"/>
      <c r="D14" s="41"/>
      <c r="E14" s="41"/>
      <c r="F14" s="41"/>
      <c r="G14" s="1"/>
    </row>
    <row r="15" spans="1:7" ht="15" customHeight="1" x14ac:dyDescent="0.25">
      <c r="A15" s="1"/>
      <c r="B15" s="42" t="s">
        <v>12</v>
      </c>
      <c r="C15" s="42"/>
      <c r="D15" s="42"/>
      <c r="E15" s="9">
        <f>'Fane 4. Ikke-påvirkelige omk.'!C15*(1+'Fane 10. Nøgletal'!C13)</f>
        <v>6534886.4579143263</v>
      </c>
      <c r="F15" s="42" t="s">
        <v>3</v>
      </c>
      <c r="G15" s="1"/>
    </row>
    <row r="16" spans="1:7" ht="15" customHeight="1" x14ac:dyDescent="0.25">
      <c r="A16" s="1"/>
      <c r="B16" s="41" t="s">
        <v>52</v>
      </c>
      <c r="C16" s="41"/>
      <c r="D16" s="41"/>
      <c r="E16" s="41"/>
      <c r="F16" s="41"/>
      <c r="G16" s="1"/>
    </row>
    <row r="17" spans="1:7" ht="15" customHeight="1" x14ac:dyDescent="0.25">
      <c r="A17" s="1"/>
      <c r="B17" s="27" t="s">
        <v>49</v>
      </c>
      <c r="C17" s="36"/>
      <c r="D17" s="36"/>
      <c r="E17" s="8">
        <f>'Fane 7.2. Engangstillæg'!C24</f>
        <v>0</v>
      </c>
      <c r="F17" s="36" t="s">
        <v>3</v>
      </c>
      <c r="G17" s="1"/>
    </row>
    <row r="18" spans="1:7" ht="15" customHeight="1" x14ac:dyDescent="0.25">
      <c r="A18" s="1"/>
      <c r="B18" s="27" t="s">
        <v>50</v>
      </c>
      <c r="C18" s="36"/>
      <c r="D18" s="36"/>
      <c r="E18" s="8">
        <f>'Fane 7.2. Engangstillæg'!E24</f>
        <v>0</v>
      </c>
      <c r="F18" s="36" t="s">
        <v>3</v>
      </c>
      <c r="G18" s="1"/>
    </row>
    <row r="19" spans="1:7" ht="15" customHeight="1" x14ac:dyDescent="0.25">
      <c r="A19" s="1"/>
      <c r="B19" s="43" t="s">
        <v>53</v>
      </c>
      <c r="C19" s="40"/>
      <c r="D19" s="40"/>
      <c r="E19" s="9">
        <f>SUM(E17:E18)</f>
        <v>0</v>
      </c>
      <c r="F19" s="42" t="s">
        <v>3</v>
      </c>
      <c r="G19" s="1"/>
    </row>
    <row r="20" spans="1:7" x14ac:dyDescent="0.25">
      <c r="A20" s="1"/>
      <c r="B20" s="41" t="s">
        <v>124</v>
      </c>
      <c r="C20" s="41"/>
      <c r="D20" s="41"/>
      <c r="E20" s="41"/>
      <c r="F20" s="41"/>
      <c r="G20" s="1"/>
    </row>
    <row r="21" spans="1:7" ht="15" customHeight="1" x14ac:dyDescent="0.25">
      <c r="A21" s="1"/>
      <c r="B21" s="42" t="s">
        <v>36</v>
      </c>
      <c r="C21" s="42"/>
      <c r="D21" s="42"/>
      <c r="E21" s="9">
        <f>'Fane 5. Kontrol af ØR2019'!E42</f>
        <v>238735.04603497213</v>
      </c>
      <c r="F21" s="42" t="s">
        <v>3</v>
      </c>
      <c r="G21" s="1"/>
    </row>
    <row r="22" spans="1:7" x14ac:dyDescent="0.25">
      <c r="A22" s="1"/>
      <c r="B22" s="43" t="s">
        <v>125</v>
      </c>
      <c r="C22" s="42"/>
      <c r="D22" s="42"/>
      <c r="E22" s="9">
        <f>'Fane 5. Kontrol af ØR2019'!E43</f>
        <v>-883037.3367686132</v>
      </c>
      <c r="F22" s="42" t="s">
        <v>3</v>
      </c>
      <c r="G22" s="1"/>
    </row>
    <row r="23" spans="1:7" x14ac:dyDescent="0.25">
      <c r="A23" s="1"/>
      <c r="B23" s="41" t="s">
        <v>29</v>
      </c>
      <c r="C23" s="41"/>
      <c r="D23" s="41"/>
      <c r="E23" s="10">
        <f>SUM(E13,E15,E19,E21,E22)</f>
        <v>13967684.264086753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25">
      <c r="A8" s="1"/>
      <c r="B8" s="36" t="s">
        <v>92</v>
      </c>
      <c r="C8" s="36"/>
      <c r="D8" s="36"/>
      <c r="E8" s="7">
        <f>'Fane 2.2. Økonomisk ramme 2022'!E13</f>
        <v>8077100.0969060706</v>
      </c>
      <c r="F8" s="36" t="s">
        <v>3</v>
      </c>
      <c r="G8" s="1"/>
    </row>
    <row r="9" spans="1:7" ht="15" customHeight="1" x14ac:dyDescent="0.25">
      <c r="A9" s="1"/>
      <c r="B9" s="36" t="s">
        <v>82</v>
      </c>
      <c r="C9" s="36"/>
      <c r="D9" s="36"/>
      <c r="E9" s="7">
        <f>-('Fane 9. Bortfald'!C24+'Fane 9.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18</v>
      </c>
      <c r="C10" s="36"/>
      <c r="D10" s="36"/>
      <c r="E10" s="8">
        <f>SUM(E8:E9)*'Fane 10. Nøgletal'!C13</f>
        <v>98540.621182254064</v>
      </c>
      <c r="F10" s="36" t="s">
        <v>3</v>
      </c>
      <c r="G10" s="1"/>
    </row>
    <row r="11" spans="1:7" ht="15" customHeight="1" x14ac:dyDescent="0.25">
      <c r="A11" s="1"/>
      <c r="B11" s="37" t="s">
        <v>72</v>
      </c>
      <c r="C11" s="36"/>
      <c r="D11" s="36"/>
      <c r="E11" s="8">
        <f>-SUM(E8:E10)*'Fane 10. Nøgletal'!C18</f>
        <v>-138985.89220750154</v>
      </c>
      <c r="F11" s="36" t="s">
        <v>3</v>
      </c>
      <c r="G11" s="1"/>
    </row>
    <row r="12" spans="1:7" x14ac:dyDescent="0.25">
      <c r="A12" s="1"/>
      <c r="B12" s="40" t="s">
        <v>20</v>
      </c>
      <c r="C12" s="40"/>
      <c r="D12" s="40"/>
      <c r="E12" s="9">
        <f>SUM(E8:E11)</f>
        <v>8036654.8258808237</v>
      </c>
      <c r="F12" s="42" t="s">
        <v>3</v>
      </c>
      <c r="G12" s="1"/>
    </row>
    <row r="13" spans="1:7" x14ac:dyDescent="0.2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25">
      <c r="A14" s="1"/>
      <c r="B14" s="42" t="s">
        <v>12</v>
      </c>
      <c r="C14" s="42"/>
      <c r="D14" s="42"/>
      <c r="E14" s="9">
        <f>'Fane 4. Ikke-påvirkelige omk.'!C15*(1+'Fane 10. Nøgletal'!C13)^2</f>
        <v>6614612.0727008814</v>
      </c>
      <c r="F14" s="42" t="s">
        <v>3</v>
      </c>
      <c r="G14" s="1"/>
    </row>
    <row r="15" spans="1:7" ht="15" customHeight="1" x14ac:dyDescent="0.25">
      <c r="A15" s="1"/>
      <c r="B15" s="41" t="s">
        <v>52</v>
      </c>
      <c r="C15" s="41"/>
      <c r="D15" s="41"/>
      <c r="E15" s="41"/>
      <c r="F15" s="41"/>
      <c r="G15" s="1"/>
    </row>
    <row r="16" spans="1:7" ht="15" customHeight="1" x14ac:dyDescent="0.25">
      <c r="A16" s="1"/>
      <c r="B16" s="27" t="s">
        <v>49</v>
      </c>
      <c r="C16" s="36"/>
      <c r="D16" s="36"/>
      <c r="E16" s="8">
        <f>'Fane 7.2. Engangstillæg'!C33</f>
        <v>0</v>
      </c>
      <c r="F16" s="36" t="s">
        <v>3</v>
      </c>
      <c r="G16" s="1"/>
    </row>
    <row r="17" spans="1:7" ht="15" customHeight="1" x14ac:dyDescent="0.25">
      <c r="A17" s="1"/>
      <c r="B17" s="27" t="s">
        <v>50</v>
      </c>
      <c r="C17" s="36"/>
      <c r="D17" s="36"/>
      <c r="E17" s="8">
        <f>'Fane 7.2. Engangstillæg'!E33</f>
        <v>0</v>
      </c>
      <c r="F17" s="36" t="s">
        <v>3</v>
      </c>
      <c r="G17" s="1"/>
    </row>
    <row r="18" spans="1:7" ht="15" customHeight="1" x14ac:dyDescent="0.25">
      <c r="A18" s="1"/>
      <c r="B18" s="43" t="s">
        <v>53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25">
      <c r="A19" s="1"/>
      <c r="B19" s="41" t="s">
        <v>57</v>
      </c>
      <c r="C19" s="41"/>
      <c r="D19" s="41"/>
      <c r="E19" s="10">
        <f>SUM(E12,E14,E18)</f>
        <v>14651266.898581706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25">
      <c r="A8" s="1"/>
      <c r="B8" s="36" t="s">
        <v>94</v>
      </c>
      <c r="C8" s="36"/>
      <c r="D8" s="36"/>
      <c r="E8" s="7">
        <f>'Fane 2.3. Økonomisk ramme 2023'!E12</f>
        <v>8036654.8258808237</v>
      </c>
      <c r="F8" s="36" t="s">
        <v>3</v>
      </c>
      <c r="G8" s="1"/>
    </row>
    <row r="9" spans="1:7" ht="15" customHeight="1" x14ac:dyDescent="0.25">
      <c r="A9" s="1"/>
      <c r="B9" s="36" t="s">
        <v>82</v>
      </c>
      <c r="C9" s="36"/>
      <c r="D9" s="36"/>
      <c r="E9" s="7">
        <f>-('Fane 9. Bortfald'!C30+'Fane 9.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18</v>
      </c>
      <c r="C10" s="36"/>
      <c r="D10" s="36"/>
      <c r="E10" s="8">
        <f>SUM(E8:E9)*'Fane 10. Nøgletal'!C13</f>
        <v>98047.188875746055</v>
      </c>
      <c r="F10" s="36" t="s">
        <v>3</v>
      </c>
      <c r="G10" s="1"/>
    </row>
    <row r="11" spans="1:7" ht="15" customHeight="1" x14ac:dyDescent="0.25">
      <c r="A11" s="1"/>
      <c r="B11" s="37" t="s">
        <v>72</v>
      </c>
      <c r="C11" s="36"/>
      <c r="D11" s="36"/>
      <c r="E11" s="8">
        <f>-SUM(E8:E10)*'Fane 10. Nøgletal'!C18</f>
        <v>-138289.9342508617</v>
      </c>
      <c r="F11" s="36" t="s">
        <v>3</v>
      </c>
      <c r="G11" s="1"/>
    </row>
    <row r="12" spans="1:7" x14ac:dyDescent="0.25">
      <c r="A12" s="1"/>
      <c r="B12" s="40" t="s">
        <v>20</v>
      </c>
      <c r="C12" s="40"/>
      <c r="D12" s="40"/>
      <c r="E12" s="9">
        <f>SUM(E8:E11)</f>
        <v>7996412.0805057082</v>
      </c>
      <c r="F12" s="42" t="s">
        <v>3</v>
      </c>
      <c r="G12" s="1"/>
    </row>
    <row r="13" spans="1:7" x14ac:dyDescent="0.2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25">
      <c r="A14" s="1"/>
      <c r="B14" s="42" t="s">
        <v>12</v>
      </c>
      <c r="C14" s="42"/>
      <c r="D14" s="42"/>
      <c r="E14" s="9">
        <f>'Fane 4. Ikke-påvirkelige omk.'!C15*(1+'Fane 10. Nøgletal'!C13)^3</f>
        <v>6695310.3399878321</v>
      </c>
      <c r="F14" s="42" t="s">
        <v>3</v>
      </c>
      <c r="G14" s="1"/>
    </row>
    <row r="15" spans="1:7" ht="15" customHeight="1" x14ac:dyDescent="0.25">
      <c r="A15" s="1"/>
      <c r="B15" s="41" t="s">
        <v>52</v>
      </c>
      <c r="C15" s="41"/>
      <c r="D15" s="41"/>
      <c r="E15" s="41"/>
      <c r="F15" s="41"/>
      <c r="G15" s="1"/>
    </row>
    <row r="16" spans="1:7" ht="15" customHeight="1" x14ac:dyDescent="0.25">
      <c r="A16" s="1"/>
      <c r="B16" s="27" t="s">
        <v>49</v>
      </c>
      <c r="C16" s="36"/>
      <c r="D16" s="36"/>
      <c r="E16" s="8">
        <f>'Fane 7.2. Engangstillæg'!C42</f>
        <v>0</v>
      </c>
      <c r="F16" s="36" t="s">
        <v>3</v>
      </c>
      <c r="G16" s="1"/>
    </row>
    <row r="17" spans="1:7" ht="15" customHeight="1" x14ac:dyDescent="0.25">
      <c r="A17" s="1"/>
      <c r="B17" s="27" t="s">
        <v>50</v>
      </c>
      <c r="C17" s="36"/>
      <c r="D17" s="36"/>
      <c r="E17" s="8">
        <f>'Fane 7.2. Engangstillæg'!E42</f>
        <v>0</v>
      </c>
      <c r="F17" s="36" t="s">
        <v>3</v>
      </c>
      <c r="G17" s="1"/>
    </row>
    <row r="18" spans="1:7" ht="15" customHeight="1" x14ac:dyDescent="0.25">
      <c r="A18" s="1"/>
      <c r="B18" s="43" t="s">
        <v>53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25">
      <c r="A19" s="1"/>
      <c r="B19" s="41" t="s">
        <v>95</v>
      </c>
      <c r="C19" s="41"/>
      <c r="D19" s="41"/>
      <c r="E19" s="10">
        <f>SUM(E12,E14,E18)</f>
        <v>14691722.420493539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97</v>
      </c>
      <c r="C8" s="41"/>
      <c r="D8" s="41"/>
      <c r="E8" s="41"/>
      <c r="F8" s="41"/>
      <c r="G8" s="1"/>
    </row>
    <row r="9" spans="1:7" x14ac:dyDescent="0.25">
      <c r="A9" s="1"/>
      <c r="B9" s="80" t="s">
        <v>24</v>
      </c>
      <c r="C9" s="80"/>
      <c r="D9" s="80"/>
      <c r="E9" s="7">
        <v>8026148.9982996779</v>
      </c>
      <c r="F9" s="36" t="s">
        <v>3</v>
      </c>
      <c r="G9" s="1"/>
    </row>
    <row r="10" spans="1:7" x14ac:dyDescent="0.25">
      <c r="A10" s="1"/>
      <c r="B10" s="68" t="s">
        <v>149</v>
      </c>
      <c r="C10" s="68"/>
      <c r="D10" s="68"/>
      <c r="E10" s="7">
        <v>0</v>
      </c>
      <c r="F10" s="36" t="s">
        <v>3</v>
      </c>
      <c r="G10" s="1"/>
    </row>
    <row r="11" spans="1:7" x14ac:dyDescent="0.25">
      <c r="A11" s="1"/>
      <c r="B11" s="68" t="s">
        <v>150</v>
      </c>
      <c r="C11" s="68"/>
      <c r="D11" s="68"/>
      <c r="E11" s="7">
        <v>4235.781146343209</v>
      </c>
      <c r="F11" s="36" t="s">
        <v>3</v>
      </c>
      <c r="G11" s="1"/>
    </row>
    <row r="12" spans="1:7" x14ac:dyDescent="0.25">
      <c r="A12" s="1"/>
      <c r="B12" s="68" t="s">
        <v>80</v>
      </c>
      <c r="C12" s="68"/>
      <c r="D12" s="68"/>
      <c r="E12" s="7">
        <v>179466.58817999999</v>
      </c>
      <c r="F12" s="36" t="s">
        <v>3</v>
      </c>
      <c r="G12" s="1"/>
    </row>
    <row r="13" spans="1:7" x14ac:dyDescent="0.25">
      <c r="A13" s="1"/>
      <c r="B13" s="68" t="s">
        <v>81</v>
      </c>
      <c r="C13" s="68"/>
      <c r="D13" s="68"/>
      <c r="E13" s="8">
        <v>0</v>
      </c>
      <c r="F13" s="36" t="s">
        <v>3</v>
      </c>
      <c r="G13" s="1"/>
    </row>
    <row r="14" spans="1:7" x14ac:dyDescent="0.2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105485.37434636656</v>
      </c>
      <c r="F14" s="36" t="s">
        <v>3</v>
      </c>
      <c r="G14" s="1"/>
    </row>
    <row r="15" spans="1:7" x14ac:dyDescent="0.25">
      <c r="A15" s="1"/>
      <c r="B15" s="68" t="s">
        <v>72</v>
      </c>
      <c r="C15" s="68"/>
      <c r="D15" s="68"/>
      <c r="E15" s="8">
        <f>-SUM(E9:E9,E12:E14)*'Fane 10. Nøgletal'!C18</f>
        <v>-141288.71633404275</v>
      </c>
      <c r="F15" s="36" t="s">
        <v>3</v>
      </c>
      <c r="G15" s="1"/>
    </row>
    <row r="16" spans="1:7" x14ac:dyDescent="0.25">
      <c r="A16" s="1"/>
      <c r="B16" s="70" t="s">
        <v>20</v>
      </c>
      <c r="C16" s="70"/>
      <c r="D16" s="70"/>
      <c r="E16" s="9">
        <f>SUM(E9,E12:E15)</f>
        <v>8169812.2444920009</v>
      </c>
      <c r="F16" s="42" t="s">
        <v>3</v>
      </c>
      <c r="G16" s="1"/>
    </row>
    <row r="17" spans="1:7" x14ac:dyDescent="0.25">
      <c r="A17" s="1"/>
      <c r="B17" s="71" t="s">
        <v>12</v>
      </c>
      <c r="C17" s="71"/>
      <c r="D17" s="71"/>
      <c r="E17" s="41"/>
      <c r="F17" s="41"/>
      <c r="G17" s="1"/>
    </row>
    <row r="18" spans="1:7" x14ac:dyDescent="0.25">
      <c r="A18" s="1"/>
      <c r="B18" s="72" t="s">
        <v>12</v>
      </c>
      <c r="C18" s="72"/>
      <c r="D18" s="72"/>
      <c r="E18" s="9">
        <v>6480178.7721669907</v>
      </c>
      <c r="F18" s="42" t="s">
        <v>3</v>
      </c>
      <c r="G18" s="1"/>
    </row>
    <row r="19" spans="1:7" x14ac:dyDescent="0.25">
      <c r="A19" s="1"/>
      <c r="B19" s="41" t="s">
        <v>52</v>
      </c>
      <c r="C19" s="41"/>
      <c r="D19" s="41"/>
      <c r="E19" s="41"/>
      <c r="F19" s="41"/>
      <c r="G19" s="1"/>
    </row>
    <row r="20" spans="1:7" ht="15.4" customHeight="1" x14ac:dyDescent="0.25">
      <c r="A20" s="1"/>
      <c r="B20" s="73" t="s">
        <v>49</v>
      </c>
      <c r="C20" s="74"/>
      <c r="D20" s="75"/>
      <c r="E20" s="31">
        <v>0</v>
      </c>
      <c r="F20" s="31" t="s">
        <v>3</v>
      </c>
      <c r="G20" s="1"/>
    </row>
    <row r="21" spans="1:7" ht="15.75" customHeight="1" x14ac:dyDescent="0.25">
      <c r="A21" s="1"/>
      <c r="B21" s="73" t="s">
        <v>50</v>
      </c>
      <c r="C21" s="74"/>
      <c r="D21" s="75"/>
      <c r="E21" s="31">
        <v>0</v>
      </c>
      <c r="F21" s="31" t="s">
        <v>3</v>
      </c>
      <c r="G21" s="1"/>
    </row>
    <row r="22" spans="1:7" x14ac:dyDescent="0.25">
      <c r="A22" s="1"/>
      <c r="B22" s="76" t="s">
        <v>53</v>
      </c>
      <c r="C22" s="77"/>
      <c r="D22" s="78"/>
      <c r="E22" s="9">
        <v>0</v>
      </c>
      <c r="F22" s="9" t="s">
        <v>3</v>
      </c>
      <c r="G22" s="1"/>
    </row>
    <row r="23" spans="1:7" x14ac:dyDescent="0.25">
      <c r="A23" s="1"/>
      <c r="B23" s="41" t="s">
        <v>145</v>
      </c>
      <c r="C23" s="41"/>
      <c r="D23" s="41"/>
      <c r="E23" s="41"/>
      <c r="F23" s="41"/>
      <c r="G23" s="1"/>
    </row>
    <row r="24" spans="1:7" ht="15.75" customHeight="1" x14ac:dyDescent="0.25">
      <c r="A24" s="1"/>
      <c r="B24" s="65" t="s">
        <v>146</v>
      </c>
      <c r="C24" s="66"/>
      <c r="D24" s="67"/>
      <c r="E24" s="9">
        <v>-863610</v>
      </c>
      <c r="F24" s="9" t="s">
        <v>3</v>
      </c>
      <c r="G24" s="1"/>
    </row>
    <row r="25" spans="1:7" x14ac:dyDescent="0.25">
      <c r="A25" s="1"/>
      <c r="B25" s="41" t="s">
        <v>147</v>
      </c>
      <c r="C25" s="41"/>
      <c r="D25" s="41"/>
      <c r="E25" s="41"/>
      <c r="F25" s="41"/>
      <c r="G25" s="1"/>
    </row>
    <row r="26" spans="1:7" ht="15.4" customHeight="1" x14ac:dyDescent="0.25">
      <c r="A26" s="1"/>
      <c r="B26" s="65" t="s">
        <v>148</v>
      </c>
      <c r="C26" s="66"/>
      <c r="D26" s="67"/>
      <c r="E26" s="9">
        <v>0</v>
      </c>
      <c r="F26" s="42" t="s">
        <v>3</v>
      </c>
      <c r="G26" s="1"/>
    </row>
    <row r="27" spans="1:7" x14ac:dyDescent="0.25">
      <c r="A27" s="1"/>
      <c r="B27" s="41" t="s">
        <v>25</v>
      </c>
      <c r="C27" s="41"/>
      <c r="D27" s="41"/>
      <c r="E27" s="10">
        <f>E16+E18+E22+E24+E26</f>
        <v>13786381.016658992</v>
      </c>
      <c r="F27" s="11" t="s">
        <v>3</v>
      </c>
      <c r="G27" s="1"/>
    </row>
    <row r="28" spans="1:7" ht="28.5" customHeight="1" x14ac:dyDescent="0.25">
      <c r="A28" s="1"/>
      <c r="B28" s="69" t="s">
        <v>98</v>
      </c>
      <c r="C28" s="69"/>
      <c r="D28" s="69"/>
      <c r="E28" s="69"/>
      <c r="F28" s="6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42" t="s">
        <v>100</v>
      </c>
      <c r="D9" s="42"/>
      <c r="E9" s="1"/>
      <c r="F9" s="1"/>
    </row>
    <row r="10" spans="1:6" ht="15" customHeight="1" x14ac:dyDescent="0.25">
      <c r="A10" s="1"/>
      <c r="B10" s="26" t="s">
        <v>153</v>
      </c>
      <c r="C10" s="8">
        <v>4162398</v>
      </c>
      <c r="D10" s="12" t="s">
        <v>3</v>
      </c>
      <c r="E10" s="1"/>
      <c r="F10" s="1"/>
    </row>
    <row r="11" spans="1:6" x14ac:dyDescent="0.25">
      <c r="A11" s="1"/>
      <c r="B11" s="26" t="s">
        <v>154</v>
      </c>
      <c r="C11" s="8">
        <v>31044</v>
      </c>
      <c r="D11" s="12" t="s">
        <v>3</v>
      </c>
      <c r="E11" s="1"/>
      <c r="F11" s="1"/>
    </row>
    <row r="12" spans="1:6" x14ac:dyDescent="0.25">
      <c r="A12" s="1"/>
      <c r="B12" s="26" t="s">
        <v>155</v>
      </c>
      <c r="C12" s="8">
        <v>2080683</v>
      </c>
      <c r="D12" s="12" t="s">
        <v>3</v>
      </c>
      <c r="E12" s="1"/>
      <c r="F12" s="1"/>
    </row>
    <row r="13" spans="1:6" x14ac:dyDescent="0.25">
      <c r="A13" s="1"/>
      <c r="B13" s="26" t="s">
        <v>156</v>
      </c>
      <c r="C13" s="8">
        <v>27304</v>
      </c>
      <c r="D13" s="12" t="s">
        <v>3</v>
      </c>
      <c r="E13" s="1"/>
      <c r="F13" s="1"/>
    </row>
    <row r="14" spans="1:6" x14ac:dyDescent="0.25">
      <c r="A14" s="1"/>
      <c r="B14" s="46" t="s">
        <v>101</v>
      </c>
      <c r="C14" s="10">
        <f>SUM(C10:C13)</f>
        <v>6301429</v>
      </c>
      <c r="D14" s="11" t="s">
        <v>3</v>
      </c>
      <c r="E14" s="1"/>
      <c r="F14" s="1"/>
    </row>
    <row r="15" spans="1:6" x14ac:dyDescent="0.25">
      <c r="A15" s="1"/>
      <c r="B15" s="46" t="s">
        <v>102</v>
      </c>
      <c r="C15" s="10">
        <f>C14*(1+'Fane 10. Nøgletal'!C13)^2</f>
        <v>6456121.7722923597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85" t="s">
        <v>34</v>
      </c>
      <c r="C7" s="85"/>
      <c r="D7" s="85"/>
      <c r="E7" s="8">
        <v>682916.08946666669</v>
      </c>
      <c r="F7" s="12" t="s">
        <v>3</v>
      </c>
      <c r="G7" s="1"/>
    </row>
    <row r="8" spans="1:7" ht="15" customHeight="1" x14ac:dyDescent="0.25">
      <c r="A8" s="1"/>
      <c r="B8" s="85" t="s">
        <v>35</v>
      </c>
      <c r="C8" s="85"/>
      <c r="D8" s="85"/>
      <c r="E8" s="8">
        <v>-205445.99739672244</v>
      </c>
      <c r="F8" s="12" t="s">
        <v>3</v>
      </c>
      <c r="G8" s="1"/>
    </row>
    <row r="9" spans="1:7" ht="15" customHeight="1" x14ac:dyDescent="0.25">
      <c r="A9" s="1"/>
      <c r="B9" s="76" t="s">
        <v>76</v>
      </c>
      <c r="C9" s="77"/>
      <c r="D9" s="78"/>
      <c r="E9" s="9">
        <f>SUM(E7:E8)</f>
        <v>477470.09206994425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69" t="s">
        <v>71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85" t="s">
        <v>63</v>
      </c>
      <c r="C15" s="85"/>
      <c r="D15" s="85"/>
      <c r="E15" s="8">
        <v>14597066.183666667</v>
      </c>
      <c r="F15" s="12" t="s">
        <v>3</v>
      </c>
      <c r="G15" s="1"/>
    </row>
    <row r="16" spans="1:7" x14ac:dyDescent="0.25">
      <c r="A16" s="1"/>
      <c r="B16" s="85" t="s">
        <v>64</v>
      </c>
      <c r="C16" s="85"/>
      <c r="D16" s="85"/>
      <c r="E16" s="8">
        <v>14380536</v>
      </c>
      <c r="F16" s="12" t="s">
        <v>3</v>
      </c>
      <c r="G16" s="1"/>
    </row>
    <row r="17" spans="1:7" x14ac:dyDescent="0.2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25">
      <c r="A18" s="1"/>
      <c r="B18" s="86" t="s">
        <v>136</v>
      </c>
      <c r="C18" s="86"/>
      <c r="D18" s="86"/>
      <c r="E18" s="9">
        <f>E15-(E16-E17)</f>
        <v>216530.18366666697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85" t="s">
        <v>45</v>
      </c>
      <c r="C23" s="85"/>
      <c r="D23" s="85"/>
      <c r="E23" s="8">
        <v>12902370.074381303</v>
      </c>
      <c r="F23" s="12" t="s">
        <v>3</v>
      </c>
      <c r="G23" s="1"/>
    </row>
    <row r="24" spans="1:7" ht="15" customHeight="1" x14ac:dyDescent="0.25">
      <c r="A24" s="1"/>
      <c r="B24" s="85" t="s">
        <v>46</v>
      </c>
      <c r="C24" s="85"/>
      <c r="D24" s="85"/>
      <c r="E24" s="8">
        <v>14114960</v>
      </c>
      <c r="F24" s="12" t="s">
        <v>3</v>
      </c>
      <c r="G24" s="1"/>
    </row>
    <row r="25" spans="1:7" ht="15" customHeight="1" x14ac:dyDescent="0.2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25">
      <c r="A26" s="1"/>
      <c r="B26" s="86" t="s">
        <v>137</v>
      </c>
      <c r="C26" s="86"/>
      <c r="D26" s="86"/>
      <c r="E26" s="9">
        <f>E23-(E24-E25)</f>
        <v>-1212589.925618697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85" t="s">
        <v>128</v>
      </c>
      <c r="C31" s="85"/>
      <c r="D31" s="85"/>
      <c r="E31" s="8">
        <v>12895344.068414804</v>
      </c>
      <c r="F31" s="12" t="s">
        <v>3</v>
      </c>
      <c r="G31" s="1"/>
    </row>
    <row r="32" spans="1:7" x14ac:dyDescent="0.25">
      <c r="A32" s="1"/>
      <c r="B32" s="85" t="s">
        <v>129</v>
      </c>
      <c r="C32" s="85"/>
      <c r="D32" s="85"/>
      <c r="E32" s="8">
        <v>13665359</v>
      </c>
      <c r="F32" s="12" t="s">
        <v>3</v>
      </c>
      <c r="G32" s="1"/>
    </row>
    <row r="33" spans="1:7" x14ac:dyDescent="0.2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25">
      <c r="A34" s="1"/>
      <c r="B34" s="86" t="s">
        <v>138</v>
      </c>
      <c r="C34" s="86"/>
      <c r="D34" s="86"/>
      <c r="E34" s="9">
        <f>E31-(E32-E33)</f>
        <v>-770014.93158519641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90" t="s">
        <v>36</v>
      </c>
      <c r="C39" s="90"/>
      <c r="D39" s="90"/>
      <c r="E39" s="8">
        <f>E9</f>
        <v>477470.09206994425</v>
      </c>
      <c r="F39" s="12" t="s">
        <v>3</v>
      </c>
      <c r="G39" s="1"/>
    </row>
    <row r="40" spans="1:7" x14ac:dyDescent="0.25">
      <c r="A40" s="1"/>
      <c r="B40" s="90" t="s">
        <v>135</v>
      </c>
      <c r="C40" s="90"/>
      <c r="D40" s="90"/>
      <c r="E40" s="8">
        <f>IF(E18+E26+E34&lt;0,E18+E26+E34,0)</f>
        <v>-1766074.6735372264</v>
      </c>
      <c r="F40" s="12" t="s">
        <v>3</v>
      </c>
      <c r="G40" s="1"/>
    </row>
    <row r="41" spans="1:7" x14ac:dyDescent="0.2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25">
      <c r="A42" s="1"/>
      <c r="B42" s="86" t="s">
        <v>133</v>
      </c>
      <c r="C42" s="86"/>
      <c r="D42" s="86"/>
      <c r="E42" s="9">
        <f>SUM(E39)/E41</f>
        <v>238735.04603497213</v>
      </c>
      <c r="F42" s="15" t="s">
        <v>3</v>
      </c>
      <c r="G42" s="1"/>
    </row>
    <row r="43" spans="1:7" x14ac:dyDescent="0.25">
      <c r="A43" s="1"/>
      <c r="B43" s="86" t="s">
        <v>134</v>
      </c>
      <c r="C43" s="86"/>
      <c r="D43" s="86"/>
      <c r="E43" s="9">
        <f>E40/E41</f>
        <v>-883037.3367686132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2" t="s">
        <v>2</v>
      </c>
      <c r="F9" s="42" t="s">
        <v>11</v>
      </c>
      <c r="G9" s="42" t="s">
        <v>30</v>
      </c>
      <c r="H9" s="45"/>
      <c r="I9" s="1"/>
    </row>
    <row r="10" spans="1:9" x14ac:dyDescent="0.25">
      <c r="A10" s="1"/>
      <c r="B10" s="32" t="s">
        <v>158</v>
      </c>
      <c r="C10" s="33" t="s">
        <v>160</v>
      </c>
      <c r="D10" s="8">
        <v>809762</v>
      </c>
      <c r="E10" s="8">
        <f>IFERROR(D10/C10,0)</f>
        <v>80976.2</v>
      </c>
      <c r="F10" s="8">
        <v>0</v>
      </c>
      <c r="G10" s="8">
        <v>9950</v>
      </c>
      <c r="H10" s="12" t="s">
        <v>3</v>
      </c>
      <c r="I10" s="1"/>
    </row>
    <row r="11" spans="1:9" x14ac:dyDescent="0.25">
      <c r="A11" s="1"/>
      <c r="B11" s="32" t="s">
        <v>159</v>
      </c>
      <c r="C11" s="33" t="s">
        <v>161</v>
      </c>
      <c r="D11" s="8">
        <v>2436</v>
      </c>
      <c r="E11" s="8">
        <f t="shared" ref="E11" si="0">IFERROR(D11/C11,0)</f>
        <v>487.2</v>
      </c>
      <c r="F11" s="8">
        <v>0</v>
      </c>
      <c r="G11" s="8">
        <v>30</v>
      </c>
      <c r="H11" s="12" t="s">
        <v>3</v>
      </c>
      <c r="I11" s="1"/>
    </row>
    <row r="12" spans="1:9" x14ac:dyDescent="0.25">
      <c r="A12" s="1"/>
      <c r="B12" s="81" t="s">
        <v>118</v>
      </c>
      <c r="C12" s="82"/>
      <c r="D12" s="83"/>
      <c r="E12" s="10">
        <f>SUM(E10:E11)</f>
        <v>81463.399999999994</v>
      </c>
      <c r="F12" s="10">
        <f>SUM(F10:F11)</f>
        <v>0</v>
      </c>
      <c r="G12" s="10">
        <f>SUM(G10:G11)</f>
        <v>9980</v>
      </c>
      <c r="H12" s="11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2020-10-14T06:27:01Z</dcterms:modified>
</cp:coreProperties>
</file>