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Novafos Spildevand Ballerup AS (S001)\ØR2025\"/>
    </mc:Choice>
  </mc:AlternateContent>
  <xr:revisionPtr revIDLastSave="0" documentId="13_ncr:1_{B7E1F798-8F89-4C97-8D01-3A4CA653BCC0}"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ØR2024'!$B$8:$D$38</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23" i="43" l="1"/>
  <c r="C27" i="43" s="1"/>
  <c r="C32" i="2" s="1"/>
  <c r="C31" i="43" l="1"/>
  <c r="F10" i="11" l="1"/>
  <c r="C11" i="29"/>
  <c r="C10" i="36" l="1"/>
  <c r="C10" i="30"/>
  <c r="C20" i="23" l="1"/>
  <c r="C22" i="22"/>
  <c r="C22" i="15"/>
  <c r="C36" i="2"/>
  <c r="C11" i="30" l="1"/>
  <c r="C15" i="30" s="1"/>
  <c r="C29" i="20" l="1"/>
  <c r="C28" i="20"/>
  <c r="C23" i="20"/>
  <c r="C22" i="20"/>
  <c r="C24" i="20" l="1"/>
  <c r="C30" i="20"/>
  <c r="C18" i="41"/>
  <c r="C16" i="20" l="1"/>
  <c r="C10" i="20"/>
  <c r="C33" i="43" l="1"/>
  <c r="C20" i="22" l="1"/>
  <c r="C20" i="15"/>
  <c r="C12" i="29" l="1"/>
  <c r="E11" i="29"/>
  <c r="E12" i="29" s="1"/>
  <c r="E14" i="39"/>
  <c r="E15" i="39" s="1"/>
  <c r="C14" i="39"/>
  <c r="C15"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<sst xmlns="http://schemas.openxmlformats.org/spreadsheetml/2006/main" count="557" uniqueCount="237">
  <si>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</si>
  <si>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</si>
  <si>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</si>
  <si>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</si>
  <si>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</si>
  <si>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</si>
  <si>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</si>
  <si>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</si>
  <si>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</si>
  <si>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</si>
  <si>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</si>
  <si>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</si>
  <si>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</si>
  <si>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</si>
  <si>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</si>
  <si>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</si>
  <si>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</si>
  <si>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</si>
  <si>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</si>
  <si>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</si>
  <si>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</si>
  <si>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</si>
  <si>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</si>
  <si>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</si>
  <si>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</si>
  <si>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</si>
  <si>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</si>
  <si>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</si>
  <si>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</si>
  <si>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</si>
  <si>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</si>
  <si>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</si>
  <si>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</si>
  <si>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</si>
  <si>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</si>
  <si>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</si>
  <si>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</si>
  <si>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</si>
  <si>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</si>
  <si>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</si>
  <si>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</si>
  <si>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</si>
  <si>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</si>
  <si>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</si>
  <si>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</si>
  <si>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</si>
  <si>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</si>
  <si>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</si>
  <si>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</si>
  <si>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</si>
  <si>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</si>
  <si>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</si>
  <si>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</si>
  <si>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</si>
  <si>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</si>
  <si>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</si>
  <si>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</si>
  <si>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</si>
  <si>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</si>
  <si>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</si>
  <si>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</si>
  <si>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</si>
  <si>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</si>
  <si>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</si>
  <si>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</si>
  <si>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</si>
  <si>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</si>
  <si>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</si>
  <si>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</si>
  <si>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</si>
  <si>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</si>
  <si>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</si>
  <si>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</si>
  <si>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</si>
  <si>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</si>
  <si>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</si>
  <si>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</si>
  <si>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</si>
  <si>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</si>
  <si>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</si>
  <si>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</si>
  <si>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</si>
  <si>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</si>
  <si>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</si>
  <si>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</si>
  <si>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</si>
  <si>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</si>
  <si>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</si>
  <si>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</si>
  <si>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</si>
  <si>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</si>
  <si>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</si>
  <si>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</si>
  <si>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</si>
  <si>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</si>
  <si>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</si>
  <si>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</si>
  <si>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</si>
  <si>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</si>
  <si>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</si>
  <si>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</si>
  <si>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</si>
  <si>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</si>
  <si>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</si>
  <si>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</si>
  <si>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</si>
  <si>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</si>
  <si>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</si>
  <si>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</si>
  <si>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</si>
  <si>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</si>
  <si>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</si>
  <si>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</si>
  <si>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</si>
  <si>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</si>
  <si>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</si>
  <si>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</si>
  <si>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</si>
  <si>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</si>
  <si>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</si>
  <si>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</si>
  <si>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</si>
  <si>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</si>
  <si>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</si>
  <si>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</si>
  <si>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</si>
  <si>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</si>
  <si>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</si>
  <si>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</si>
  <si>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</si>
  <si>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</si>
  <si>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</si>
  <si>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</si>
  <si>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</si>
  <si>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</si>
  <si>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</si>
  <si>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</si>
  <si>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</si>
  <si>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</si>
  <si>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</si>
  <si>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</si>
  <si>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</si>
  <si>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</si>
  <si>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</si>
  <si>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</si>
  <si>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</si>
  <si>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</si>
  <si>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</si>
  <si>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</si>
  <si>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</si>
  <si>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</si>
  <si>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</si>
  <si>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</si>
  <si>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</si>
  <si>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</si>
  <si>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</si>
  <si>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</si>
  <si>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</si>
  <si>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</si>
  <si>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</si>
  <si>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</si>
  <si>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</si>
  <si>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</si>
  <si>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</si>
  <si>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</si>
  <si>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</si>
  <si>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</si>
  <si>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</si>
  <si>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</si>
  <si>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</si>
  <si>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</si>
  <si>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</si>
  <si>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</si>
  <si>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</si>
  <si>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</si>
  <si>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</si>
  <si>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</si>
  <si>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</si>
  <si>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</si>
  <si>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</si>
  <si>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</si>
  <si>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</si>
  <si>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</si>
  <si>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</si>
  <si>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</si>
  <si>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</si>
  <si>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</si>
  <si>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</si>
  <si>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</si>
  <si>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</si>
  <si>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</si>
  <si>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</si>
  <si>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</si>
  <si>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</si>
  <si>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</si>
  <si>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</si>
  <si>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</si>
  <si>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</si>
  <si>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</si>
  <si>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</si>
  <si>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</si>
  <si>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</si>
  <si>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</si>
  <si>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</si>
  <si>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</si>
  <si>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</si>
  <si>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</si>
  <si>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</si>
  <si>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</si>
  <si>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</si>
  <si>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</si>
  <si>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</si>
  <si>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</si>
  <si>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</si>
  <si>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</si>
  <si>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</si>
  <si>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</si>
  <si>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</si>
  <si>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</si>
  <si>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</si>
  <si>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</si>
  <si>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Afgift til Forsyningssekretariatet</t>
  </si>
  <si>
    <t>Køb af ydelser og produkter fra andre vandselskaber reguleret af vandsektorloven</t>
  </si>
  <si>
    <t>Ejendomsskatter</t>
  </si>
  <si>
    <t>Gebyr til Miljøstyrelsen</t>
  </si>
  <si>
    <t xml:space="preserve">Note: Denne opgørelse er taget fra jeres økonomiske ramme for 2024. 
I kan derfor ikke komme med høringssvar til denne opgørelse. </t>
  </si>
  <si>
    <t>Individuelt effektiviseringskrav til de økonomiske rammer for 2024-2025</t>
  </si>
  <si>
    <t>Prisudvikling til brug for nye omkostninger i ØR2025</t>
  </si>
  <si>
    <t>Generelt effektiviseringskrav til brug for nye anlægsomkostninger i ØR2025</t>
  </si>
  <si>
    <t>Til statusmeddelelse for 2025</t>
  </si>
  <si>
    <t>Harrrestrup Å</t>
  </si>
  <si>
    <t>Ignition</t>
  </si>
  <si>
    <t>Separering B28 F/S Centrumgaden mf. 2023 fortsættelse</t>
  </si>
  <si>
    <t>Oprensning - Parklodden</t>
  </si>
  <si>
    <t>Oprensning - Stadionsøen</t>
  </si>
  <si>
    <t>Oprensning - Marbækvej</t>
  </si>
  <si>
    <t>Justering af genanbringelsesbeløb fra tidligere år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</si>
</sst>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horizontal="right" vertical="top" wrapText="1"/>
    </xf>
    <xf numFmtId="0" fontId="8" fillId="8" borderId="2" xfId="0" applyFont="1" applyFill="1" applyBorder="1" applyAlignment="1" applyProtection="1">
      <alignment horizontal="lef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3"/>
    </row>
    <row r="7" spans="1:7" ht="15" customHeight="1" x14ac:dyDescent="0.25">
      <c r="A7" s="1"/>
      <c r="B7" s="3"/>
      <c r="C7" s="87"/>
      <c r="D7" s="87"/>
      <c r="E7" s="87"/>
      <c r="F7" s="87"/>
      <c r="G7" s="3"/>
    </row>
    <row r="8" spans="1:7" ht="15.75" x14ac:dyDescent="0.25">
      <c r="A8" s="1"/>
      <c r="B8" s="4"/>
      <c r="C8" s="95" t="s">
        <v>229</v>
      </c>
      <c r="D8" s="95"/>
      <c r="E8" s="95"/>
      <c r="F8" s="95"/>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4" t="s">
        <v>5</v>
      </c>
      <c r="D11" s="94"/>
      <c r="E11" s="94"/>
      <c r="F11" s="94"/>
      <c r="G11" s="5"/>
    </row>
    <row r="12" spans="1:7" x14ac:dyDescent="0.25">
      <c r="A12" s="1"/>
      <c r="B12" s="1"/>
      <c r="C12" s="1"/>
      <c r="D12" s="1"/>
      <c r="E12" s="1"/>
      <c r="F12" s="1"/>
      <c r="G12" s="5"/>
    </row>
    <row r="13" spans="1:7" x14ac:dyDescent="0.25">
      <c r="A13" s="1"/>
      <c r="B13" s="6" t="s">
        <v>6</v>
      </c>
      <c r="C13" s="99" t="s">
        <v>126</v>
      </c>
      <c r="D13" s="100"/>
      <c r="E13" s="100"/>
      <c r="F13" s="101"/>
      <c r="G13" s="5"/>
    </row>
    <row r="14" spans="1:7" x14ac:dyDescent="0.25">
      <c r="A14" s="1"/>
      <c r="B14" s="6" t="s">
        <v>16</v>
      </c>
      <c r="C14" s="84" t="s">
        <v>184</v>
      </c>
      <c r="D14" s="85"/>
      <c r="E14" s="85"/>
      <c r="F14" s="86"/>
      <c r="G14" s="5"/>
    </row>
    <row r="15" spans="1:7" x14ac:dyDescent="0.25">
      <c r="A15" s="1"/>
      <c r="B15" s="6" t="s">
        <v>29</v>
      </c>
      <c r="C15" s="84" t="s">
        <v>148</v>
      </c>
      <c r="D15" s="85"/>
      <c r="E15" s="85"/>
      <c r="F15" s="86"/>
      <c r="G15" s="5"/>
    </row>
    <row r="16" spans="1:7" x14ac:dyDescent="0.25">
      <c r="A16" s="1"/>
      <c r="B16" s="6" t="s">
        <v>30</v>
      </c>
      <c r="C16" s="84" t="s">
        <v>150</v>
      </c>
      <c r="D16" s="85"/>
      <c r="E16" s="85"/>
      <c r="F16" s="86"/>
      <c r="G16" s="5"/>
    </row>
    <row r="17" spans="1:8" x14ac:dyDescent="0.25">
      <c r="A17" s="1"/>
      <c r="B17" s="6" t="s">
        <v>60</v>
      </c>
      <c r="C17" s="84" t="s">
        <v>151</v>
      </c>
      <c r="D17" s="85"/>
      <c r="E17" s="85"/>
      <c r="F17" s="86"/>
      <c r="G17" s="5"/>
    </row>
    <row r="18" spans="1:8" x14ac:dyDescent="0.25">
      <c r="A18" s="1"/>
      <c r="B18" s="6" t="s">
        <v>52</v>
      </c>
      <c r="C18" s="96" t="s">
        <v>44</v>
      </c>
      <c r="D18" s="97"/>
      <c r="E18" s="97"/>
      <c r="F18" s="98"/>
      <c r="G18" s="5"/>
    </row>
    <row r="19" spans="1:8" x14ac:dyDescent="0.25">
      <c r="A19" s="1"/>
      <c r="B19" s="6" t="s">
        <v>53</v>
      </c>
      <c r="C19" s="96" t="s">
        <v>45</v>
      </c>
      <c r="D19" s="97"/>
      <c r="E19" s="97"/>
      <c r="F19" s="98"/>
      <c r="G19" s="5"/>
    </row>
    <row r="20" spans="1:8" x14ac:dyDescent="0.25">
      <c r="A20" s="1"/>
      <c r="B20" s="6" t="s">
        <v>7</v>
      </c>
      <c r="C20" s="96" t="s">
        <v>10</v>
      </c>
      <c r="D20" s="97"/>
      <c r="E20" s="97"/>
      <c r="F20" s="98"/>
      <c r="G20" s="5"/>
    </row>
    <row r="21" spans="1:8" x14ac:dyDescent="0.25">
      <c r="A21" s="1"/>
      <c r="B21" s="6" t="s">
        <v>54</v>
      </c>
      <c r="C21" s="88" t="s">
        <v>12</v>
      </c>
      <c r="D21" s="89"/>
      <c r="E21" s="89"/>
      <c r="F21" s="90"/>
      <c r="G21" s="5"/>
    </row>
    <row r="22" spans="1:8" x14ac:dyDescent="0.25">
      <c r="A22" s="1"/>
      <c r="B22" s="6" t="s">
        <v>38</v>
      </c>
      <c r="C22" s="91" t="s">
        <v>152</v>
      </c>
      <c r="D22" s="92"/>
      <c r="E22" s="92"/>
      <c r="F22" s="93"/>
      <c r="G22" s="5"/>
    </row>
    <row r="23" spans="1:8" x14ac:dyDescent="0.25">
      <c r="A23" s="1"/>
      <c r="B23" s="6" t="s">
        <v>8</v>
      </c>
      <c r="C23" s="91" t="s">
        <v>111</v>
      </c>
      <c r="D23" s="92"/>
      <c r="E23" s="92"/>
      <c r="F23" s="93"/>
      <c r="G23" s="5"/>
    </row>
    <row r="24" spans="1:8" x14ac:dyDescent="0.25">
      <c r="A24" s="1"/>
      <c r="B24" s="6" t="s">
        <v>9</v>
      </c>
      <c r="C24" s="91" t="s">
        <v>153</v>
      </c>
      <c r="D24" s="92"/>
      <c r="E24" s="92"/>
      <c r="F24" s="93"/>
      <c r="G24" s="5"/>
    </row>
    <row r="25" spans="1:8" x14ac:dyDescent="0.25">
      <c r="A25" s="1"/>
      <c r="B25" s="6" t="s">
        <v>96</v>
      </c>
      <c r="C25" s="91" t="s">
        <v>90</v>
      </c>
      <c r="D25" s="92"/>
      <c r="E25" s="92"/>
      <c r="F25" s="93"/>
      <c r="G25" s="1"/>
    </row>
    <row r="26" spans="1:8" x14ac:dyDescent="0.25">
      <c r="A26" s="1"/>
      <c r="B26" s="6" t="s">
        <v>97</v>
      </c>
      <c r="C26" s="91" t="s">
        <v>39</v>
      </c>
      <c r="D26" s="92"/>
      <c r="E26" s="92"/>
      <c r="F26" s="93"/>
      <c r="G26" s="1"/>
    </row>
    <row r="27" spans="1:8" x14ac:dyDescent="0.25">
      <c r="A27" s="1"/>
      <c r="B27" s="6" t="s">
        <v>98</v>
      </c>
      <c r="C27" s="91" t="s">
        <v>40</v>
      </c>
      <c r="D27" s="92"/>
      <c r="E27" s="92"/>
      <c r="F27" s="93"/>
      <c r="G27" s="1"/>
    </row>
    <row r="28" spans="1:8" x14ac:dyDescent="0.25">
      <c r="A28" s="1"/>
      <c r="B28" s="6" t="s">
        <v>15</v>
      </c>
      <c r="C28" s="91" t="s">
        <v>41</v>
      </c>
      <c r="D28" s="92"/>
      <c r="E28" s="92"/>
      <c r="F28" s="93"/>
      <c r="G28" s="1"/>
      <c r="H28" s="2" t="s">
        <v>149</v>
      </c>
    </row>
    <row r="29" spans="1:8" x14ac:dyDescent="0.25">
      <c r="A29" s="1"/>
      <c r="B29" s="6" t="s">
        <v>32</v>
      </c>
      <c r="C29" s="91" t="s">
        <v>67</v>
      </c>
      <c r="D29" s="92"/>
      <c r="E29" s="92"/>
      <c r="F29" s="93"/>
      <c r="G29" s="1"/>
    </row>
    <row r="30" spans="1:8" x14ac:dyDescent="0.25">
      <c r="A30" s="1"/>
      <c r="B30" s="6" t="s">
        <v>33</v>
      </c>
      <c r="C30" s="91" t="s">
        <v>31</v>
      </c>
      <c r="D30" s="92"/>
      <c r="E30" s="92"/>
      <c r="F30" s="93"/>
      <c r="G30" s="1"/>
    </row>
    <row r="31" spans="1:8" x14ac:dyDescent="0.25">
      <c r="A31" s="1"/>
      <c r="B31" s="6" t="s">
        <v>99</v>
      </c>
      <c r="C31" s="102" t="s">
        <v>51</v>
      </c>
      <c r="D31" s="103"/>
      <c r="E31" s="103"/>
      <c r="F31" s="104"/>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VFLB+glQVPPD3yBbtUcKEbTeFcHY1cSqFmdXmoOw8tYmY3s+Tp+1zVYEoixvSXCCTrZKTqitqOt8n5XeP9yUzw==" saltValue="+6vorfqkj+hYtv9Z8JDJW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57</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163</v>
      </c>
      <c r="C8" s="110"/>
      <c r="D8" s="111"/>
      <c r="E8" s="1"/>
    </row>
    <row r="9" spans="1:5" ht="15" customHeight="1" x14ac:dyDescent="0.25">
      <c r="A9" s="1"/>
      <c r="B9" s="27" t="s">
        <v>28</v>
      </c>
      <c r="C9" s="67" t="s">
        <v>164</v>
      </c>
      <c r="D9" s="11"/>
      <c r="E9" s="1"/>
    </row>
    <row r="10" spans="1:5" ht="15" customHeight="1" x14ac:dyDescent="0.25">
      <c r="A10" s="1"/>
      <c r="B10" s="71" t="s">
        <v>221</v>
      </c>
      <c r="C10" s="72">
        <v>95411</v>
      </c>
      <c r="D10" s="14" t="s">
        <v>3</v>
      </c>
      <c r="E10" s="1"/>
    </row>
    <row r="11" spans="1:5" ht="25.5" x14ac:dyDescent="0.25">
      <c r="A11" s="1"/>
      <c r="B11" s="71" t="s">
        <v>222</v>
      </c>
      <c r="C11" s="72">
        <v>19576169</v>
      </c>
      <c r="D11" s="14" t="s">
        <v>3</v>
      </c>
      <c r="E11" s="1"/>
    </row>
    <row r="12" spans="1:5" x14ac:dyDescent="0.25">
      <c r="A12" s="1"/>
      <c r="B12" s="71" t="s">
        <v>223</v>
      </c>
      <c r="C12" s="72">
        <v>187845</v>
      </c>
      <c r="D12" s="14" t="s">
        <v>3</v>
      </c>
      <c r="E12" s="1"/>
    </row>
    <row r="13" spans="1:5" x14ac:dyDescent="0.25">
      <c r="A13" s="1"/>
      <c r="B13" s="71" t="s">
        <v>224</v>
      </c>
      <c r="C13" s="72">
        <v>10785</v>
      </c>
      <c r="D13" s="14" t="s">
        <v>3</v>
      </c>
      <c r="E13" s="1"/>
    </row>
    <row r="14" spans="1:5" x14ac:dyDescent="0.25">
      <c r="A14" s="1"/>
      <c r="B14" s="73"/>
      <c r="C14" s="72"/>
      <c r="D14" s="14" t="s">
        <v>3</v>
      </c>
      <c r="E14" s="1"/>
    </row>
    <row r="15" spans="1:5" x14ac:dyDescent="0.25">
      <c r="A15" s="1"/>
      <c r="B15" s="73"/>
      <c r="C15" s="72"/>
      <c r="D15" s="14" t="s">
        <v>3</v>
      </c>
      <c r="E15" s="1"/>
    </row>
    <row r="16" spans="1:5" x14ac:dyDescent="0.25">
      <c r="A16" s="1"/>
      <c r="B16" s="73"/>
      <c r="C16" s="72"/>
      <c r="D16" s="14" t="s">
        <v>3</v>
      </c>
      <c r="E16" s="1"/>
    </row>
    <row r="17" spans="1:5" x14ac:dyDescent="0.25">
      <c r="A17" s="1"/>
      <c r="B17" s="73"/>
      <c r="C17" s="72"/>
      <c r="D17" s="14" t="s">
        <v>3</v>
      </c>
      <c r="E17" s="1"/>
    </row>
    <row r="18" spans="1:5" x14ac:dyDescent="0.25">
      <c r="A18" s="1"/>
      <c r="B18" s="73"/>
      <c r="C18" s="72"/>
      <c r="D18" s="14" t="s">
        <v>3</v>
      </c>
      <c r="E18" s="1"/>
    </row>
    <row r="19" spans="1:5" x14ac:dyDescent="0.25">
      <c r="A19" s="1"/>
      <c r="B19" s="73"/>
      <c r="C19" s="72"/>
      <c r="D19" s="14" t="s">
        <v>3</v>
      </c>
      <c r="E19" s="1"/>
    </row>
    <row r="20" spans="1:5" x14ac:dyDescent="0.25">
      <c r="A20" s="1"/>
      <c r="B20" s="33" t="s">
        <v>165</v>
      </c>
      <c r="C20" s="12">
        <f>SUM(C10:C19)</f>
        <v>19870210</v>
      </c>
      <c r="D20" s="13" t="s">
        <v>3</v>
      </c>
      <c r="E20" s="1"/>
    </row>
    <row r="21" spans="1:5" x14ac:dyDescent="0.25">
      <c r="A21" s="1"/>
      <c r="B21" s="33" t="s">
        <v>166</v>
      </c>
      <c r="C21" s="12">
        <f>C20*(1+'Fane 15. Nøgletal'!C10)^2</f>
        <v>22592343.1293949</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59</v>
      </c>
      <c r="C24" s="110"/>
      <c r="D24" s="111"/>
      <c r="E24" s="1"/>
    </row>
    <row r="25" spans="1:5" x14ac:dyDescent="0.25">
      <c r="A25" s="1"/>
      <c r="B25" s="37" t="s">
        <v>71</v>
      </c>
      <c r="C25" s="9">
        <v>0</v>
      </c>
      <c r="D25" s="14" t="s">
        <v>3</v>
      </c>
      <c r="E25" s="1"/>
    </row>
    <row r="26" spans="1:5" x14ac:dyDescent="0.25">
      <c r="A26" s="1"/>
      <c r="B26" s="37" t="s">
        <v>82</v>
      </c>
      <c r="C26" s="9">
        <v>0</v>
      </c>
      <c r="D26" s="14" t="s">
        <v>3</v>
      </c>
      <c r="E26" s="1"/>
    </row>
    <row r="27" spans="1:5" x14ac:dyDescent="0.25">
      <c r="A27" s="1"/>
      <c r="B27" s="37" t="s">
        <v>147</v>
      </c>
      <c r="C27" s="9">
        <v>0</v>
      </c>
      <c r="D27" s="14" t="s">
        <v>3</v>
      </c>
      <c r="E27" s="1"/>
    </row>
    <row r="28" spans="1:5" x14ac:dyDescent="0.25">
      <c r="A28" s="1"/>
      <c r="B28" s="34" t="s">
        <v>167</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46</v>
      </c>
      <c r="C32" s="110"/>
      <c r="D32" s="111"/>
      <c r="E32" s="1"/>
    </row>
    <row r="33" spans="1:5" x14ac:dyDescent="0.25">
      <c r="A33" s="1"/>
      <c r="B33" s="37" t="s">
        <v>71</v>
      </c>
      <c r="C33" s="9">
        <v>0</v>
      </c>
      <c r="D33" s="14" t="s">
        <v>3</v>
      </c>
      <c r="E33" s="1"/>
    </row>
    <row r="34" spans="1:5" x14ac:dyDescent="0.25">
      <c r="A34" s="1"/>
      <c r="B34" s="37" t="s">
        <v>82</v>
      </c>
      <c r="C34" s="9">
        <v>0</v>
      </c>
      <c r="D34" s="14" t="s">
        <v>3</v>
      </c>
      <c r="E34" s="1"/>
    </row>
    <row r="35" spans="1:5" x14ac:dyDescent="0.25">
      <c r="A35" s="1"/>
      <c r="B35" s="37" t="s">
        <v>147</v>
      </c>
      <c r="C35" s="9">
        <v>0</v>
      </c>
      <c r="D35" s="14" t="s">
        <v>3</v>
      </c>
      <c r="E35" s="1"/>
    </row>
    <row r="36" spans="1:5" x14ac:dyDescent="0.25">
      <c r="A36" s="1"/>
      <c r="B36" s="34" t="s">
        <v>167</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Pb+wsFA5UK7s672Q0NjDl4fh7M0+SwMQAU+tF4mmkQBTZ4kO24qXNjD4avLOwcTBniHIHzq869U5MVKuq9OO6A==" saltValue="c/QRgt/vg0/8B22RFikCJ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199</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76</v>
      </c>
      <c r="C8" s="110"/>
      <c r="D8" s="111"/>
      <c r="E8" s="1"/>
    </row>
    <row r="9" spans="1:5" x14ac:dyDescent="0.25">
      <c r="A9" s="1"/>
      <c r="B9" s="65" t="s">
        <v>202</v>
      </c>
      <c r="C9" s="9">
        <v>2456595.9779146016</v>
      </c>
      <c r="D9" s="14" t="s">
        <v>3</v>
      </c>
      <c r="E9" s="1"/>
    </row>
    <row r="10" spans="1:5" x14ac:dyDescent="0.25">
      <c r="A10" s="1"/>
      <c r="B10" s="33"/>
      <c r="C10" s="28"/>
      <c r="D10" s="19"/>
      <c r="E10" s="1"/>
    </row>
    <row r="11" spans="1:5" ht="53.25" customHeight="1" x14ac:dyDescent="0.25">
      <c r="A11" s="1"/>
      <c r="B11" s="120" t="s">
        <v>210</v>
      </c>
      <c r="C11" s="121"/>
      <c r="D11" s="122"/>
      <c r="E11" s="1"/>
    </row>
    <row r="12" spans="1:5" x14ac:dyDescent="0.25">
      <c r="A12" s="1"/>
      <c r="B12" s="1"/>
      <c r="C12" s="1"/>
      <c r="D12" s="1"/>
      <c r="E12" s="1"/>
    </row>
    <row r="13" spans="1:5" x14ac:dyDescent="0.25">
      <c r="A13" s="1"/>
      <c r="B13" s="109" t="s">
        <v>77</v>
      </c>
      <c r="C13" s="110"/>
      <c r="D13" s="111"/>
      <c r="E13" s="1"/>
    </row>
    <row r="14" spans="1:5" x14ac:dyDescent="0.25">
      <c r="A14" s="1"/>
      <c r="B14" s="65" t="s">
        <v>200</v>
      </c>
      <c r="C14" s="9">
        <v>-1220300.7118904814</v>
      </c>
      <c r="D14" s="14" t="s">
        <v>3</v>
      </c>
      <c r="E14" s="1"/>
    </row>
    <row r="15" spans="1:5" x14ac:dyDescent="0.25">
      <c r="A15" s="1"/>
      <c r="B15" s="65" t="s">
        <v>201</v>
      </c>
      <c r="C15" s="9">
        <v>-1220300.7118904814</v>
      </c>
      <c r="D15" s="14" t="s">
        <v>3</v>
      </c>
      <c r="E15" s="1"/>
    </row>
    <row r="16" spans="1:5" x14ac:dyDescent="0.25">
      <c r="A16" s="1"/>
      <c r="B16" s="33"/>
      <c r="C16" s="28"/>
      <c r="D16" s="19"/>
      <c r="E16" s="1"/>
    </row>
    <row r="17" spans="1:5" ht="29.25" customHeight="1" x14ac:dyDescent="0.25">
      <c r="A17" s="1"/>
      <c r="B17" s="120" t="s">
        <v>120</v>
      </c>
      <c r="C17" s="121"/>
      <c r="D17" s="122"/>
      <c r="E17" s="1"/>
    </row>
    <row r="18" spans="1:5" x14ac:dyDescent="0.25">
      <c r="A18" s="1"/>
      <c r="B18" s="1"/>
      <c r="C18" s="1"/>
      <c r="D18" s="1"/>
      <c r="E18" s="1"/>
    </row>
    <row r="19" spans="1:5" x14ac:dyDescent="0.25">
      <c r="A19" s="1"/>
      <c r="B19" s="77" t="s">
        <v>203</v>
      </c>
      <c r="C19" s="78"/>
      <c r="D19" s="79"/>
      <c r="E19" s="1"/>
    </row>
    <row r="20" spans="1:5" x14ac:dyDescent="0.25">
      <c r="A20" s="1"/>
      <c r="B20" s="65" t="s">
        <v>204</v>
      </c>
      <c r="C20" s="9">
        <v>73486447.990848184</v>
      </c>
      <c r="D20" s="14" t="s">
        <v>3</v>
      </c>
      <c r="E20" s="1"/>
    </row>
    <row r="21" spans="1:5" x14ac:dyDescent="0.25">
      <c r="A21" s="1"/>
      <c r="B21" s="65" t="s">
        <v>205</v>
      </c>
      <c r="C21" s="9">
        <v>72301106</v>
      </c>
      <c r="D21" s="14" t="s">
        <v>3</v>
      </c>
      <c r="E21" s="1"/>
    </row>
    <row r="22" spans="1:5" x14ac:dyDescent="0.25">
      <c r="A22" s="1"/>
      <c r="B22" s="66" t="s">
        <v>236</v>
      </c>
      <c r="C22" s="9">
        <v>1500000</v>
      </c>
      <c r="D22" s="14" t="s">
        <v>3</v>
      </c>
      <c r="E22" s="1"/>
    </row>
    <row r="23" spans="1:5" x14ac:dyDescent="0.25">
      <c r="A23" s="1"/>
      <c r="B23" s="83" t="s">
        <v>206</v>
      </c>
      <c r="C23" s="57">
        <f>C20-C21-C22</f>
        <v>-314658.00915181637</v>
      </c>
      <c r="D23" s="17" t="s">
        <v>3</v>
      </c>
      <c r="E23" s="1"/>
    </row>
    <row r="24" spans="1:5" x14ac:dyDescent="0.25">
      <c r="A24" s="1"/>
      <c r="B24" s="33"/>
      <c r="C24" s="28"/>
      <c r="D24" s="19"/>
      <c r="E24" s="1"/>
    </row>
    <row r="25" spans="1:5" x14ac:dyDescent="0.25">
      <c r="A25" s="1"/>
      <c r="B25" s="1"/>
      <c r="C25" s="1"/>
      <c r="D25" s="1"/>
      <c r="E25" s="1"/>
    </row>
    <row r="26" spans="1:5" x14ac:dyDescent="0.25">
      <c r="A26" s="1"/>
      <c r="B26" s="109" t="s">
        <v>207</v>
      </c>
      <c r="C26" s="110"/>
      <c r="D26" s="111"/>
      <c r="E26" s="1"/>
    </row>
    <row r="27" spans="1:5" x14ac:dyDescent="0.25">
      <c r="A27" s="1"/>
      <c r="B27" s="83" t="s">
        <v>208</v>
      </c>
      <c r="C27" s="57">
        <f>IF(AND(C15&lt;0,C23&gt;0,ABS(SUM(C14:C15))&lt;C23),ABS(C14),IF(AND(C15&lt;0,C23&gt;0,ABS(SUM(C14:C15))&gt;C23),SUM(C14,C23),C15))</f>
        <v>-1220300.7118904814</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209</v>
      </c>
      <c r="C30" s="110"/>
      <c r="D30" s="111"/>
      <c r="E30" s="1"/>
    </row>
    <row r="31" spans="1:5" x14ac:dyDescent="0.25">
      <c r="A31" s="1"/>
      <c r="B31" s="66" t="s">
        <v>68</v>
      </c>
      <c r="C31" s="58">
        <f>IF(AND(C9&gt;0,(C9+C23)&gt;0),0,IF(AND(C9&gt;0,(C9+C23)&lt;0),(C9+C23),IF(AND(C9&lt;0,C23&lt;0),C23,0)))</f>
        <v>0</v>
      </c>
      <c r="D31" s="14" t="s">
        <v>3</v>
      </c>
      <c r="E31" s="1"/>
    </row>
    <row r="32" spans="1:5" x14ac:dyDescent="0.25">
      <c r="A32" s="1"/>
      <c r="B32" s="66" t="s">
        <v>48</v>
      </c>
      <c r="C32" s="9">
        <v>2</v>
      </c>
      <c r="D32" s="14" t="s">
        <v>20</v>
      </c>
      <c r="E32" s="1"/>
    </row>
    <row r="33" spans="1:5" x14ac:dyDescent="0.25">
      <c r="A33" s="1"/>
      <c r="B33" s="67" t="s">
        <v>69</v>
      </c>
      <c r="C33" s="57">
        <f>C31/C32</f>
        <v>0</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EnKkMtsm1cyxmoh0J5YEyYYXOwHwOlCswKICKMmQdCTIdFo9+QMJf9lLXdU5VZ3pTY3oubi1qy9PA2ENqNrzjQ==" saltValue="fbcUHM40sxOk1DRD80gvu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7" t="s">
        <v>100</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x14ac:dyDescent="0.25">
      <c r="A8" s="1"/>
      <c r="B8" s="109" t="s">
        <v>119</v>
      </c>
      <c r="C8" s="110"/>
      <c r="D8" s="111"/>
      <c r="E8" s="1"/>
    </row>
    <row r="9" spans="1:5" ht="15" customHeight="1" x14ac:dyDescent="0.25">
      <c r="A9" s="1"/>
      <c r="B9" s="123" t="s">
        <v>101</v>
      </c>
      <c r="C9" s="124"/>
      <c r="D9" s="125"/>
      <c r="E9" s="1"/>
    </row>
    <row r="10" spans="1:5" x14ac:dyDescent="0.25">
      <c r="A10" s="1"/>
      <c r="B10" s="68" t="s">
        <v>102</v>
      </c>
      <c r="C10" s="9">
        <v>0</v>
      </c>
      <c r="D10" s="9" t="s">
        <v>3</v>
      </c>
      <c r="E10" s="1"/>
    </row>
    <row r="11" spans="1:5" x14ac:dyDescent="0.25">
      <c r="A11" s="1"/>
      <c r="B11" s="68" t="s">
        <v>103</v>
      </c>
      <c r="C11" s="9">
        <v>0</v>
      </c>
      <c r="D11" s="9" t="s">
        <v>3</v>
      </c>
      <c r="E11" s="1"/>
    </row>
    <row r="12" spans="1:5" x14ac:dyDescent="0.25">
      <c r="A12" s="1"/>
      <c r="B12" s="68" t="s">
        <v>104</v>
      </c>
      <c r="C12" s="9">
        <v>0</v>
      </c>
      <c r="D12" s="9" t="s">
        <v>3</v>
      </c>
      <c r="E12" s="1"/>
    </row>
    <row r="13" spans="1:5" x14ac:dyDescent="0.25">
      <c r="A13" s="1"/>
      <c r="B13" s="68" t="s">
        <v>105</v>
      </c>
      <c r="C13" s="9">
        <v>0</v>
      </c>
      <c r="D13" s="9" t="s">
        <v>3</v>
      </c>
      <c r="E13" s="1"/>
    </row>
    <row r="14" spans="1:5" x14ac:dyDescent="0.25">
      <c r="A14" s="1"/>
      <c r="B14" s="68" t="s">
        <v>106</v>
      </c>
      <c r="C14" s="9">
        <v>0</v>
      </c>
      <c r="D14" s="9" t="s">
        <v>3</v>
      </c>
      <c r="E14" s="1"/>
    </row>
    <row r="15" spans="1:5" x14ac:dyDescent="0.25">
      <c r="A15" s="1"/>
      <c r="B15" s="68" t="s">
        <v>107</v>
      </c>
      <c r="C15" s="9">
        <v>0</v>
      </c>
      <c r="D15" s="9" t="s">
        <v>3</v>
      </c>
      <c r="E15" s="1"/>
    </row>
    <row r="16" spans="1:5" x14ac:dyDescent="0.25">
      <c r="A16" s="1"/>
      <c r="B16" s="68" t="s">
        <v>108</v>
      </c>
      <c r="C16" s="9">
        <v>0</v>
      </c>
      <c r="D16" s="9" t="s">
        <v>3</v>
      </c>
      <c r="E16" s="1"/>
    </row>
    <row r="17" spans="1:5" x14ac:dyDescent="0.25">
      <c r="A17" s="1"/>
      <c r="B17" s="68" t="s">
        <v>109</v>
      </c>
      <c r="C17" s="9">
        <v>0</v>
      </c>
      <c r="D17" s="9" t="s">
        <v>3</v>
      </c>
      <c r="E17" s="1"/>
    </row>
    <row r="18" spans="1:5" x14ac:dyDescent="0.25">
      <c r="A18" s="1"/>
      <c r="B18" s="77" t="s">
        <v>110</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0SM5DZJknzeQmDzQScRxeKt9cEG6qmfptodqg9plv3IjY/w/4zc8MQdS1GMuCrhbQ21fle2fVQq4Lp2JoKGJg==" saltValue="DxzIHkWQ70y90ywV9TvJgw=="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168</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169</v>
      </c>
      <c r="C8" s="110"/>
      <c r="D8" s="111"/>
      <c r="E8" s="1"/>
    </row>
    <row r="9" spans="1:5" ht="26.25" x14ac:dyDescent="0.25">
      <c r="A9" s="1"/>
      <c r="B9" s="80" t="s">
        <v>213</v>
      </c>
      <c r="C9" s="7">
        <v>0</v>
      </c>
      <c r="D9" s="8" t="s">
        <v>3</v>
      </c>
      <c r="E9" s="1"/>
    </row>
    <row r="10" spans="1:5" ht="14.25" customHeight="1" x14ac:dyDescent="0.25">
      <c r="A10" s="1"/>
      <c r="B10" s="65" t="s">
        <v>170</v>
      </c>
      <c r="C10" s="7">
        <v>0</v>
      </c>
      <c r="D10" s="8" t="s">
        <v>3</v>
      </c>
      <c r="E10" s="1"/>
    </row>
    <row r="11" spans="1:5" ht="14.25" customHeight="1" x14ac:dyDescent="0.25">
      <c r="A11" s="1"/>
      <c r="B11" s="83" t="s">
        <v>47</v>
      </c>
      <c r="C11" s="10">
        <f>C10-C9</f>
        <v>0</v>
      </c>
      <c r="D11" s="11" t="s">
        <v>3</v>
      </c>
      <c r="E11" s="1"/>
    </row>
    <row r="12" spans="1:5" ht="14.25" customHeight="1" x14ac:dyDescent="0.25">
      <c r="A12" s="1"/>
      <c r="B12" s="109" t="s">
        <v>215</v>
      </c>
      <c r="C12" s="110"/>
      <c r="D12" s="111"/>
      <c r="E12" s="1"/>
    </row>
    <row r="13" spans="1:5" ht="26.25" x14ac:dyDescent="0.25">
      <c r="A13" s="1"/>
      <c r="B13" s="80" t="s">
        <v>214</v>
      </c>
      <c r="C13" s="7">
        <v>0</v>
      </c>
      <c r="D13" s="8" t="s">
        <v>3</v>
      </c>
      <c r="E13" s="1"/>
    </row>
    <row r="14" spans="1:5" ht="14.25" customHeight="1" x14ac:dyDescent="0.25">
      <c r="A14" s="1"/>
      <c r="B14" s="65" t="s">
        <v>171</v>
      </c>
      <c r="C14" s="7">
        <v>0</v>
      </c>
      <c r="D14" s="8" t="s">
        <v>3</v>
      </c>
      <c r="E14" s="1"/>
    </row>
    <row r="15" spans="1:5" ht="14.25" customHeight="1" x14ac:dyDescent="0.25">
      <c r="A15" s="1"/>
      <c r="B15" s="83" t="s">
        <v>47</v>
      </c>
      <c r="C15" s="10">
        <f>C14-C13</f>
        <v>0</v>
      </c>
      <c r="D15" s="11" t="s">
        <v>3</v>
      </c>
      <c r="E15" s="1"/>
    </row>
    <row r="16" spans="1:5" ht="14.25" customHeight="1" x14ac:dyDescent="0.25">
      <c r="A16" s="1"/>
      <c r="B16" s="33" t="s">
        <v>172</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eg9e3Egb2F9hvFkEWH5NOCOBlLlAV8xhF1KwDGaPpJZ2o3Yj+Uq+2U0bV/OOcPZKlJOvop+qDCZrr2Nc3Yc1Kg==" saltValue="uvjaI+SG0VJVIMOwUTgsiw=="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112</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85</v>
      </c>
      <c r="C8" s="110"/>
      <c r="D8" s="110"/>
      <c r="E8" s="110"/>
      <c r="F8" s="110"/>
      <c r="G8" s="110"/>
      <c r="H8" s="110"/>
      <c r="I8" s="110"/>
      <c r="J8" s="110"/>
      <c r="K8" s="111"/>
      <c r="L8" s="1"/>
    </row>
    <row r="9" spans="1:12" ht="39.75" customHeight="1" x14ac:dyDescent="0.25">
      <c r="A9" s="1"/>
      <c r="B9" s="18" t="s">
        <v>0</v>
      </c>
      <c r="C9" s="18" t="s">
        <v>1</v>
      </c>
      <c r="D9" s="126" t="s">
        <v>95</v>
      </c>
      <c r="E9" s="127"/>
      <c r="F9" s="126" t="s">
        <v>2</v>
      </c>
      <c r="G9" s="127"/>
      <c r="H9" s="126" t="s">
        <v>94</v>
      </c>
      <c r="I9" s="127"/>
      <c r="J9" s="126" t="s">
        <v>26</v>
      </c>
      <c r="K9" s="127"/>
      <c r="L9" s="1"/>
    </row>
    <row r="10" spans="1:12" x14ac:dyDescent="0.25">
      <c r="A10" s="1"/>
      <c r="B10" s="68" t="s">
        <v>220</v>
      </c>
      <c r="C10" s="42">
        <v>0</v>
      </c>
      <c r="D10" s="9">
        <v>0</v>
      </c>
      <c r="E10" s="14" t="s">
        <v>3</v>
      </c>
      <c r="F10" s="9">
        <f>IFERROR(D10/C10,0)</f>
        <v>0</v>
      </c>
      <c r="G10" s="14" t="s">
        <v>3</v>
      </c>
      <c r="H10" s="38">
        <v>0</v>
      </c>
      <c r="I10" s="14" t="s">
        <v>3</v>
      </c>
      <c r="J10" s="38">
        <v>0</v>
      </c>
      <c r="K10" s="14" t="s">
        <v>3</v>
      </c>
      <c r="L10" s="1"/>
    </row>
    <row r="11" spans="1:12" x14ac:dyDescent="0.25">
      <c r="A11" s="1"/>
      <c r="B11" s="77" t="s">
        <v>217</v>
      </c>
      <c r="C11" s="78"/>
      <c r="D11" s="79"/>
      <c r="E11" s="79"/>
      <c r="F11" s="12">
        <f>SUM(F10:F10)</f>
        <v>0</v>
      </c>
      <c r="G11" s="12" t="s">
        <v>93</v>
      </c>
      <c r="H11" s="12">
        <f>SUM(H10:H10)</f>
        <v>0</v>
      </c>
      <c r="I11" s="12" t="s">
        <v>93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qZOQH/Ca7qcwGjslDvUwoYnAB36QM/KJ391tkOG1ZefbYf3+Bx8aAHsZQZq3VnmoSyX/x8kd9Fs5vk1kvy6Jzg==" saltValue="Vz0sX9WORV4Zj77aKdzpNA=="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113</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36</v>
      </c>
      <c r="C8" s="28"/>
      <c r="D8" s="28"/>
      <c r="E8" s="28"/>
      <c r="F8" s="19"/>
      <c r="G8" s="1"/>
    </row>
    <row r="9" spans="1:7" ht="17.25" customHeight="1" x14ac:dyDescent="0.25">
      <c r="A9" s="1"/>
      <c r="B9" s="81" t="s">
        <v>17</v>
      </c>
      <c r="C9" s="83" t="s">
        <v>11</v>
      </c>
      <c r="D9" s="82"/>
      <c r="E9" s="83" t="s">
        <v>27</v>
      </c>
      <c r="F9" s="32"/>
      <c r="G9" s="1"/>
    </row>
    <row r="10" spans="1:7" x14ac:dyDescent="0.25">
      <c r="A10" s="1"/>
      <c r="B10" s="24" t="s">
        <v>86</v>
      </c>
      <c r="C10" s="21">
        <f>'Fane 10. Anlægsprojekter (§ 19)'!H11</f>
        <v>0</v>
      </c>
      <c r="D10" s="14" t="s">
        <v>3</v>
      </c>
      <c r="E10" s="9">
        <f>'Fane 10. Anlægsprojekter (§ 19)'!F11+'Fane 10. Anlægsprojekter (§ 19)'!J11</f>
        <v>0</v>
      </c>
      <c r="F10" s="14" t="s">
        <v>3</v>
      </c>
      <c r="G10" s="1"/>
    </row>
    <row r="11" spans="1:7" x14ac:dyDescent="0.25">
      <c r="A11" s="1"/>
      <c r="B11" s="24" t="s">
        <v>230</v>
      </c>
      <c r="C11" s="21">
        <v>200977</v>
      </c>
      <c r="D11" s="14" t="s">
        <v>3</v>
      </c>
      <c r="E11" s="9">
        <v>0</v>
      </c>
      <c r="F11" s="14" t="s">
        <v>3</v>
      </c>
      <c r="G11" s="1"/>
    </row>
    <row r="12" spans="1:7" x14ac:dyDescent="0.25">
      <c r="A12" s="1"/>
      <c r="B12" s="24" t="s">
        <v>231</v>
      </c>
      <c r="C12" s="21">
        <v>0</v>
      </c>
      <c r="D12" s="14" t="s">
        <v>3</v>
      </c>
      <c r="E12" s="9">
        <v>173767</v>
      </c>
      <c r="F12" s="14" t="s">
        <v>3</v>
      </c>
      <c r="G12" s="1"/>
    </row>
    <row r="13" spans="1:7" x14ac:dyDescent="0.25">
      <c r="A13" s="1"/>
      <c r="B13" s="24" t="s">
        <v>232</v>
      </c>
      <c r="C13" s="21">
        <v>786553</v>
      </c>
      <c r="D13" s="14" t="s">
        <v>3</v>
      </c>
      <c r="E13" s="9">
        <v>5204</v>
      </c>
      <c r="F13" s="14" t="s">
        <v>3</v>
      </c>
      <c r="G13" s="1"/>
    </row>
    <row r="14" spans="1:7" x14ac:dyDescent="0.25">
      <c r="A14" s="1"/>
      <c r="B14" s="24" t="s">
        <v>233</v>
      </c>
      <c r="C14" s="21">
        <v>98968</v>
      </c>
      <c r="D14" s="14" t="s">
        <v>3</v>
      </c>
      <c r="E14" s="9">
        <v>0</v>
      </c>
      <c r="F14" s="14" t="s">
        <v>3</v>
      </c>
      <c r="G14" s="1"/>
    </row>
    <row r="15" spans="1:7" x14ac:dyDescent="0.25">
      <c r="A15" s="1"/>
      <c r="B15" s="24" t="s">
        <v>234</v>
      </c>
      <c r="C15" s="21">
        <v>1030813</v>
      </c>
      <c r="D15" s="14" t="s">
        <v>3</v>
      </c>
      <c r="E15" s="9">
        <v>0</v>
      </c>
      <c r="F15" s="14" t="s">
        <v>3</v>
      </c>
      <c r="G15" s="1"/>
    </row>
    <row r="16" spans="1:7" x14ac:dyDescent="0.25">
      <c r="A16" s="1"/>
      <c r="B16" s="24" t="s">
        <v>235</v>
      </c>
      <c r="C16" s="21">
        <v>654286</v>
      </c>
      <c r="D16" s="14" t="s">
        <v>3</v>
      </c>
      <c r="E16" s="9">
        <v>0</v>
      </c>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138</v>
      </c>
      <c r="C19" s="12">
        <f>SUM(C10:C18)</f>
        <v>2771597</v>
      </c>
      <c r="D19" s="13" t="s">
        <v>3</v>
      </c>
      <c r="E19" s="12">
        <f>SUM(E10:E18)</f>
        <v>178971</v>
      </c>
      <c r="F19" s="13" t="s">
        <v>3</v>
      </c>
      <c r="G19" s="1"/>
    </row>
    <row r="20" spans="1:7" x14ac:dyDescent="0.25">
      <c r="A20" s="1"/>
      <c r="B20" s="33" t="s">
        <v>173</v>
      </c>
      <c r="C20" s="12">
        <f>C19*(1+'Fane 15. Nøgletal'!C10)</f>
        <v>2955353.8810999999</v>
      </c>
      <c r="D20" s="13" t="s">
        <v>3</v>
      </c>
      <c r="E20" s="12">
        <f>E19*(1+'Fane 15. Nøgletal'!C10)</f>
        <v>190836.77730000002</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T1wnaPd/bqYgM8x+LzRDPaC7HVYrq38lS6nx5biVGCnULJElgYwqu1tK90Y08V4GAnvsB/1zojoMm2tgVxiCg==" saltValue="EVXhOuHxrnpltjg7DjH3y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174</v>
      </c>
      <c r="C8" s="110"/>
      <c r="D8" s="110"/>
      <c r="E8" s="110"/>
      <c r="F8" s="111"/>
      <c r="G8" s="1"/>
    </row>
    <row r="9" spans="1:7" x14ac:dyDescent="0.25">
      <c r="A9" s="1"/>
      <c r="B9" s="81" t="s">
        <v>17</v>
      </c>
      <c r="C9" s="83" t="s">
        <v>11</v>
      </c>
      <c r="D9" s="82"/>
      <c r="E9" s="83" t="s">
        <v>27</v>
      </c>
      <c r="F9" s="32"/>
      <c r="G9" s="1"/>
    </row>
    <row r="10" spans="1:7" x14ac:dyDescent="0.25">
      <c r="A10" s="1"/>
      <c r="B10" s="24" t="s">
        <v>230</v>
      </c>
      <c r="C10" s="21">
        <v>567968</v>
      </c>
      <c r="D10" s="14" t="s">
        <v>3</v>
      </c>
      <c r="E10" s="9">
        <v>0</v>
      </c>
      <c r="F10" s="14" t="s">
        <v>3</v>
      </c>
      <c r="G10" s="1"/>
    </row>
    <row r="11" spans="1:7" x14ac:dyDescent="0.25">
      <c r="A11" s="1"/>
      <c r="B11" s="24" t="s">
        <v>233</v>
      </c>
      <c r="C11" s="21">
        <v>2474195</v>
      </c>
      <c r="D11" s="14" t="s">
        <v>3</v>
      </c>
      <c r="E11" s="9">
        <v>0</v>
      </c>
      <c r="F11" s="14" t="s">
        <v>3</v>
      </c>
      <c r="G11" s="1"/>
    </row>
    <row r="12" spans="1:7" x14ac:dyDescent="0.25">
      <c r="A12" s="1"/>
      <c r="B12" s="24" t="s">
        <v>234</v>
      </c>
      <c r="C12" s="21">
        <v>15452813</v>
      </c>
      <c r="D12" s="14" t="s">
        <v>3</v>
      </c>
      <c r="E12" s="9">
        <v>0</v>
      </c>
      <c r="F12" s="14" t="s">
        <v>3</v>
      </c>
      <c r="G12" s="1"/>
    </row>
    <row r="13" spans="1:7" x14ac:dyDescent="0.25">
      <c r="A13" s="1"/>
      <c r="B13" s="24" t="s">
        <v>235</v>
      </c>
      <c r="C13" s="21">
        <v>1962859</v>
      </c>
      <c r="D13" s="14" t="s">
        <v>3</v>
      </c>
      <c r="E13" s="9">
        <v>0</v>
      </c>
      <c r="F13" s="14" t="s">
        <v>3</v>
      </c>
      <c r="G13" s="1"/>
    </row>
    <row r="14" spans="1:7" x14ac:dyDescent="0.25">
      <c r="A14" s="1"/>
      <c r="B14" s="33" t="s">
        <v>175</v>
      </c>
      <c r="C14" s="12">
        <f>SUM(C10:C13)</f>
        <v>20457835</v>
      </c>
      <c r="D14" s="13" t="s">
        <v>3</v>
      </c>
      <c r="E14" s="12">
        <f>SUM(E10:E13)</f>
        <v>0</v>
      </c>
      <c r="F14" s="13" t="s">
        <v>3</v>
      </c>
      <c r="G14" s="1"/>
    </row>
    <row r="15" spans="1:7" x14ac:dyDescent="0.25">
      <c r="A15" s="1"/>
      <c r="B15" s="33" t="s">
        <v>176</v>
      </c>
      <c r="C15" s="12">
        <f>C14*(1+'Fane 15. Nøgletal'!C10)^2</f>
        <v>23260470.221731149</v>
      </c>
      <c r="D15" s="13" t="s">
        <v>3</v>
      </c>
      <c r="E15" s="12">
        <f>E14*(1+'Fane 15. Nøgletal'!C10)^2</f>
        <v>0</v>
      </c>
      <c r="F15" s="13" t="s">
        <v>3</v>
      </c>
      <c r="G15" s="1"/>
    </row>
    <row r="16" spans="1:7" x14ac:dyDescent="0.25">
      <c r="A16" s="1"/>
      <c r="B16" s="1"/>
      <c r="C16" s="1"/>
      <c r="D16" s="1"/>
      <c r="E16" s="1"/>
      <c r="F16" s="1"/>
      <c r="G16" s="1"/>
    </row>
    <row r="17" spans="1:7" x14ac:dyDescent="0.25">
      <c r="A17" s="1"/>
      <c r="B17" s="128"/>
      <c r="C17" s="128"/>
      <c r="D17" s="128"/>
      <c r="E17" s="128"/>
      <c r="F17" s="128"/>
      <c r="G17" s="1"/>
    </row>
    <row r="18" spans="1:7" x14ac:dyDescent="0.25">
      <c r="A18" s="1"/>
      <c r="B18" s="47"/>
      <c r="C18" s="47"/>
      <c r="D18" s="47"/>
      <c r="E18" s="47"/>
      <c r="F18" s="48"/>
      <c r="G18" s="1"/>
    </row>
    <row r="19" spans="1:7" x14ac:dyDescent="0.25">
      <c r="A19" s="1"/>
      <c r="B19" s="49"/>
      <c r="C19" s="50"/>
      <c r="D19" s="51"/>
      <c r="E19" s="52"/>
      <c r="F19" s="51"/>
      <c r="G19" s="1"/>
    </row>
    <row r="20" spans="1:7" x14ac:dyDescent="0.25">
      <c r="A20" s="1"/>
      <c r="B20" s="49"/>
      <c r="C20" s="50"/>
      <c r="D20" s="51"/>
      <c r="E20" s="52"/>
      <c r="F20" s="51"/>
      <c r="G20" s="1"/>
    </row>
    <row r="21" spans="1:7" x14ac:dyDescent="0.25">
      <c r="A21" s="1"/>
      <c r="B21" s="53"/>
      <c r="C21" s="54"/>
      <c r="D21" s="55"/>
      <c r="E21" s="54"/>
      <c r="F21" s="55"/>
      <c r="G21" s="1"/>
    </row>
    <row r="22" spans="1:7" x14ac:dyDescent="0.25">
      <c r="A22" s="1"/>
      <c r="B22" s="53"/>
      <c r="C22" s="54"/>
      <c r="D22" s="55"/>
      <c r="E22" s="54"/>
      <c r="F22" s="55"/>
      <c r="G22" s="1"/>
    </row>
    <row r="23" spans="1:7" x14ac:dyDescent="0.25">
      <c r="A23" s="1"/>
      <c r="B23" s="46"/>
      <c r="C23" s="46"/>
      <c r="D23" s="46"/>
      <c r="E23" s="46"/>
      <c r="F23" s="46"/>
      <c r="G23" s="1"/>
    </row>
    <row r="24" spans="1:7" x14ac:dyDescent="0.25">
      <c r="A24" s="1"/>
      <c r="B24" s="47"/>
      <c r="C24" s="47"/>
      <c r="D24" s="47"/>
      <c r="E24" s="47"/>
      <c r="F24" s="48"/>
      <c r="G24" s="1"/>
    </row>
    <row r="25" spans="1:7" x14ac:dyDescent="0.25">
      <c r="A25" s="1"/>
      <c r="B25" s="49"/>
      <c r="C25" s="50"/>
      <c r="D25" s="51"/>
      <c r="E25" s="52"/>
      <c r="F25" s="51"/>
      <c r="G25" s="1"/>
    </row>
    <row r="26" spans="1:7" x14ac:dyDescent="0.25">
      <c r="A26" s="1"/>
      <c r="B26" s="49"/>
      <c r="C26" s="50"/>
      <c r="D26" s="51"/>
      <c r="E26" s="52"/>
      <c r="F26" s="51"/>
      <c r="G26" s="1"/>
    </row>
    <row r="27" spans="1:7" x14ac:dyDescent="0.25">
      <c r="A27" s="1"/>
      <c r="B27" s="53"/>
      <c r="C27" s="54"/>
      <c r="D27" s="55"/>
      <c r="E27" s="54"/>
      <c r="F27" s="55"/>
      <c r="G27" s="1"/>
    </row>
    <row r="28" spans="1:7" x14ac:dyDescent="0.25">
      <c r="A28" s="1"/>
      <c r="B28" s="53"/>
      <c r="C28" s="54"/>
      <c r="D28" s="55"/>
      <c r="E28" s="54"/>
      <c r="F28" s="55"/>
      <c r="G28" s="1"/>
    </row>
    <row r="29" spans="1:7" x14ac:dyDescent="0.25">
      <c r="A29" s="1"/>
      <c r="B29" s="46"/>
      <c r="C29" s="46"/>
      <c r="D29" s="46"/>
      <c r="E29" s="46"/>
      <c r="F29" s="46"/>
      <c r="G29" s="1"/>
    </row>
    <row r="30" spans="1:7" x14ac:dyDescent="0.25">
      <c r="A30" s="1"/>
      <c r="B30" s="128"/>
      <c r="C30" s="128"/>
      <c r="D30" s="128"/>
      <c r="E30" s="128"/>
      <c r="F30" s="128"/>
      <c r="G30" s="1"/>
    </row>
    <row r="31" spans="1:7" x14ac:dyDescent="0.25">
      <c r="A31" s="1"/>
      <c r="B31" s="47"/>
      <c r="C31" s="47"/>
      <c r="D31" s="47"/>
      <c r="E31" s="47"/>
      <c r="F31" s="48"/>
      <c r="G31" s="1"/>
    </row>
    <row r="32" spans="1:7" x14ac:dyDescent="0.25">
      <c r="A32" s="1"/>
      <c r="B32" s="49"/>
      <c r="C32" s="50"/>
      <c r="D32" s="51"/>
      <c r="E32" s="52"/>
      <c r="F32" s="51"/>
      <c r="G32" s="1"/>
    </row>
    <row r="33" spans="1:7" x14ac:dyDescent="0.25">
      <c r="A33" s="1"/>
      <c r="B33" s="49"/>
      <c r="C33" s="50"/>
      <c r="D33" s="51"/>
      <c r="E33" s="52"/>
      <c r="F33" s="51"/>
      <c r="G33" s="1"/>
    </row>
    <row r="34" spans="1:7" x14ac:dyDescent="0.25">
      <c r="A34" s="1"/>
      <c r="B34" s="53"/>
      <c r="C34" s="54"/>
      <c r="D34" s="55"/>
      <c r="E34" s="54"/>
      <c r="F34" s="55"/>
      <c r="G34" s="1"/>
    </row>
    <row r="35" spans="1:7" x14ac:dyDescent="0.25">
      <c r="A35" s="1"/>
      <c r="B35" s="53"/>
      <c r="C35" s="54"/>
      <c r="D35" s="55"/>
      <c r="E35" s="54"/>
      <c r="F35" s="55"/>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eGb+7nXhzgAozvJpEXVOmzukOuqUXshqZEYGf+Hy/13nqArYwDkOri/Ns7deET3KkFYie0r3RROtKfcWs46sBw==" saltValue="cyDRoJ9tbyMcWytEGCh8Wg==" spinCount="100000" sheet="1" objects="1" scenarios="1"/>
  <mergeCells count="4">
    <mergeCell ref="B30:F30"/>
    <mergeCell ref="B3:F4"/>
    <mergeCell ref="B8:F8"/>
    <mergeCell ref="B17:F17"/>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7" t="s">
        <v>115</v>
      </c>
      <c r="C3" s="107"/>
      <c r="D3" s="107"/>
      <c r="E3" s="1"/>
    </row>
    <row r="4" spans="1:5" ht="15" customHeight="1" x14ac:dyDescent="0.25">
      <c r="A4" s="1"/>
      <c r="B4" s="107"/>
      <c r="C4" s="107"/>
      <c r="D4" s="107"/>
      <c r="E4" s="1"/>
    </row>
    <row r="5" spans="1:5" x14ac:dyDescent="0.25">
      <c r="A5" s="1"/>
      <c r="B5" s="107"/>
      <c r="C5" s="107"/>
      <c r="D5" s="107"/>
      <c r="E5" s="1"/>
    </row>
    <row r="6" spans="1:5" x14ac:dyDescent="0.25">
      <c r="A6" s="1"/>
      <c r="B6" s="1"/>
      <c r="C6" s="1"/>
      <c r="D6" s="1"/>
      <c r="E6" s="1"/>
    </row>
    <row r="7" spans="1:5" x14ac:dyDescent="0.25">
      <c r="A7" s="1"/>
      <c r="B7" s="1"/>
      <c r="C7" s="1"/>
      <c r="D7" s="1"/>
      <c r="E7" s="1"/>
    </row>
    <row r="8" spans="1:5" ht="14.25" customHeight="1" x14ac:dyDescent="0.25">
      <c r="A8" s="1"/>
      <c r="B8" s="109" t="s">
        <v>72</v>
      </c>
      <c r="C8" s="110"/>
      <c r="D8" s="111"/>
      <c r="E8" s="1"/>
    </row>
    <row r="9" spans="1:5" x14ac:dyDescent="0.25">
      <c r="A9" s="1"/>
      <c r="B9" s="68" t="s">
        <v>177</v>
      </c>
      <c r="C9" s="9">
        <v>0</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0</v>
      </c>
      <c r="D11" s="14" t="s">
        <v>3</v>
      </c>
      <c r="E11" s="1"/>
    </row>
    <row r="12" spans="1:5" x14ac:dyDescent="0.25">
      <c r="A12" s="1"/>
      <c r="B12" s="77" t="s">
        <v>73</v>
      </c>
      <c r="C12" s="12">
        <f>SUM(C9:C11)*(1+'Fane 15. Nøgletal'!C9)^2</f>
        <v>0</v>
      </c>
      <c r="D12" s="13" t="s">
        <v>3</v>
      </c>
      <c r="E12" s="1"/>
    </row>
    <row r="13" spans="1:5" x14ac:dyDescent="0.25">
      <c r="A13" s="1"/>
      <c r="B13" s="1"/>
      <c r="C13" s="1"/>
      <c r="D13" s="1"/>
      <c r="E13" s="1"/>
    </row>
    <row r="14" spans="1:5" ht="15" customHeight="1" x14ac:dyDescent="0.25">
      <c r="A14" s="1"/>
      <c r="B14" s="109" t="s">
        <v>83</v>
      </c>
      <c r="C14" s="110"/>
      <c r="D14" s="111"/>
      <c r="E14" s="1"/>
    </row>
    <row r="15" spans="1:5" x14ac:dyDescent="0.25">
      <c r="A15" s="1"/>
      <c r="B15" s="68" t="s">
        <v>177</v>
      </c>
      <c r="C15" s="9">
        <v>0</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0</v>
      </c>
      <c r="D17" s="14" t="s">
        <v>3</v>
      </c>
      <c r="E17" s="1"/>
    </row>
    <row r="18" spans="1:5" x14ac:dyDescent="0.25">
      <c r="A18" s="1"/>
      <c r="B18" s="77" t="s">
        <v>84</v>
      </c>
      <c r="C18" s="12">
        <f>SUM(C15:C17)*(1+'Fane 15. Nøgletal'!C10)^3</f>
        <v>0</v>
      </c>
      <c r="D18" s="13" t="s">
        <v>3</v>
      </c>
      <c r="E18" s="1"/>
    </row>
    <row r="19" spans="1:5" x14ac:dyDescent="0.25">
      <c r="A19" s="1"/>
      <c r="B19" s="1"/>
      <c r="C19" s="1"/>
      <c r="D19" s="1"/>
      <c r="E19" s="1"/>
    </row>
    <row r="20" spans="1:5" ht="15" customHeight="1" x14ac:dyDescent="0.25">
      <c r="A20" s="1"/>
      <c r="B20" s="109" t="s">
        <v>139</v>
      </c>
      <c r="C20" s="110"/>
      <c r="D20" s="111"/>
      <c r="E20" s="1"/>
    </row>
    <row r="21" spans="1:5" x14ac:dyDescent="0.25">
      <c r="A21" s="1"/>
      <c r="B21" s="68" t="s">
        <v>177</v>
      </c>
      <c r="C21" s="9">
        <v>0</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0</v>
      </c>
      <c r="D23" s="14" t="s">
        <v>3</v>
      </c>
      <c r="E23" s="1"/>
    </row>
    <row r="24" spans="1:5" x14ac:dyDescent="0.25">
      <c r="A24" s="1"/>
      <c r="B24" s="77" t="s">
        <v>140</v>
      </c>
      <c r="C24" s="12">
        <f>SUM(C21:C23)*(1+'Fane 15. Nøgletal'!C10)^4</f>
        <v>0</v>
      </c>
      <c r="D24" s="13" t="s">
        <v>3</v>
      </c>
      <c r="E24" s="1"/>
    </row>
    <row r="25" spans="1:5" x14ac:dyDescent="0.25">
      <c r="A25" s="1"/>
      <c r="B25" s="1"/>
      <c r="C25" s="1"/>
      <c r="D25" s="1"/>
      <c r="E25" s="1"/>
    </row>
    <row r="26" spans="1:5" ht="15" customHeight="1" x14ac:dyDescent="0.25">
      <c r="A26" s="1"/>
      <c r="B26" s="109" t="s">
        <v>178</v>
      </c>
      <c r="C26" s="110"/>
      <c r="D26" s="111"/>
      <c r="E26" s="1"/>
    </row>
    <row r="27" spans="1:5" ht="14.25" customHeight="1" x14ac:dyDescent="0.25">
      <c r="A27" s="1"/>
      <c r="B27" s="68" t="s">
        <v>177</v>
      </c>
      <c r="C27" s="9">
        <v>0</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0</v>
      </c>
      <c r="D29" s="14" t="s">
        <v>3</v>
      </c>
      <c r="E29" s="1"/>
    </row>
    <row r="30" spans="1:5" x14ac:dyDescent="0.25">
      <c r="A30" s="1"/>
      <c r="B30" s="77" t="s">
        <v>179</v>
      </c>
      <c r="C30" s="12">
        <f>SUM(C27:C29)*(1+'Fane 15. Nøgletal'!C10)^5</f>
        <v>0</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H89jzFEo1Vodl3GOnYGFf4+dpkChKgTjrG20jSpnranZGUEw3OHwIdUv3nCsDTlTpKY+fVf+4D/p7TXeW1ZrsQ==" saltValue="QucsJ0CEPq85UnCOsYEw/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116</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x14ac:dyDescent="0.25">
      <c r="A8" s="1"/>
      <c r="B8" s="109" t="s">
        <v>65</v>
      </c>
      <c r="C8" s="110"/>
      <c r="D8" s="110"/>
      <c r="E8" s="110"/>
      <c r="F8" s="111"/>
      <c r="G8" s="1"/>
    </row>
    <row r="9" spans="1:7" ht="15" customHeight="1" x14ac:dyDescent="0.25">
      <c r="A9" s="1"/>
      <c r="B9" s="31" t="s">
        <v>66</v>
      </c>
      <c r="C9" s="27" t="s">
        <v>11</v>
      </c>
      <c r="D9" s="32"/>
      <c r="E9" s="27" t="s">
        <v>27</v>
      </c>
      <c r="F9" s="32"/>
      <c r="G9" s="1"/>
    </row>
    <row r="10" spans="1:7" ht="26.25" x14ac:dyDescent="0.25">
      <c r="A10" s="1"/>
      <c r="B10" s="70" t="s">
        <v>218</v>
      </c>
      <c r="C10" s="9">
        <v>0</v>
      </c>
      <c r="D10" s="14" t="s">
        <v>3</v>
      </c>
      <c r="E10" s="9">
        <v>0</v>
      </c>
      <c r="F10" s="14" t="s">
        <v>3</v>
      </c>
      <c r="G10" s="1"/>
    </row>
    <row r="11" spans="1:7" ht="28.5" customHeight="1" x14ac:dyDescent="0.25">
      <c r="A11" s="1"/>
      <c r="B11" s="20" t="s">
        <v>141</v>
      </c>
      <c r="C11" s="12">
        <f>SUM(C10:C10)</f>
        <v>0</v>
      </c>
      <c r="D11" s="13" t="s">
        <v>3</v>
      </c>
      <c r="E11" s="12">
        <f>SUM(E10:E10)</f>
        <v>0</v>
      </c>
      <c r="F11" s="13" t="s">
        <v>3</v>
      </c>
      <c r="G11" s="1"/>
    </row>
    <row r="12" spans="1:7" ht="27" customHeight="1" x14ac:dyDescent="0.25">
      <c r="A12" s="1"/>
      <c r="B12" s="20" t="s">
        <v>180</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cpOlYOHAIVIHqSOj/9ENjU0N/M0Jkg24+T1Il5OagniybYvt/afKayf8yKKRQjF8rzUomRLGHgerO9fISon49A==" saltValue="WXRQUU76Jd8BdfQjQDmKSw=="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117</v>
      </c>
      <c r="C3" s="107"/>
      <c r="D3" s="107"/>
      <c r="E3" s="107"/>
      <c r="F3" s="107"/>
      <c r="G3" s="1"/>
    </row>
    <row r="4" spans="1:7" ht="15" customHeight="1" x14ac:dyDescent="0.25">
      <c r="A4" s="1"/>
      <c r="B4" s="107"/>
      <c r="C4" s="107"/>
      <c r="D4" s="107"/>
      <c r="E4" s="107"/>
      <c r="F4" s="107"/>
      <c r="G4" s="1"/>
    </row>
    <row r="5" spans="1:7" x14ac:dyDescent="0.25">
      <c r="A5" s="1"/>
      <c r="B5" s="107"/>
      <c r="C5" s="107"/>
      <c r="D5" s="107"/>
      <c r="E5" s="107"/>
      <c r="F5" s="107"/>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181</v>
      </c>
      <c r="C8" s="110"/>
      <c r="D8" s="110"/>
      <c r="E8" s="110"/>
      <c r="F8" s="111"/>
      <c r="G8" s="1"/>
    </row>
    <row r="9" spans="1:7" x14ac:dyDescent="0.25">
      <c r="A9" s="1"/>
      <c r="B9" s="31" t="s">
        <v>18</v>
      </c>
      <c r="C9" s="129" t="s">
        <v>11</v>
      </c>
      <c r="D9" s="130"/>
      <c r="E9" s="129" t="s">
        <v>27</v>
      </c>
      <c r="F9" s="130"/>
      <c r="G9" s="1"/>
    </row>
    <row r="10" spans="1:7" x14ac:dyDescent="0.25">
      <c r="A10" s="1"/>
      <c r="B10" s="70" t="s">
        <v>219</v>
      </c>
      <c r="C10" s="9">
        <v>0</v>
      </c>
      <c r="D10" s="14" t="s">
        <v>3</v>
      </c>
      <c r="E10" s="9">
        <v>0</v>
      </c>
      <c r="F10" s="14" t="s">
        <v>3</v>
      </c>
      <c r="G10" s="1"/>
    </row>
    <row r="11" spans="1:7" x14ac:dyDescent="0.25">
      <c r="A11" s="1"/>
      <c r="B11" s="33" t="s">
        <v>142</v>
      </c>
      <c r="C11" s="12">
        <f>SUM(C10:C10)</f>
        <v>0</v>
      </c>
      <c r="D11" s="13" t="s">
        <v>3</v>
      </c>
      <c r="E11" s="12">
        <f>SUM(E10:E10)</f>
        <v>0</v>
      </c>
      <c r="F11" s="13" t="s">
        <v>3</v>
      </c>
      <c r="G11" s="1"/>
    </row>
    <row r="12" spans="1:7" x14ac:dyDescent="0.25">
      <c r="A12" s="1"/>
      <c r="B12" s="33" t="s">
        <v>212</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JQvYmeY2VpWx+by/RBeHOYtdci0O2kvi7DjZRQ7lGZH9YuG0BbUYNCqLQ+bwE/BG2VC7Hk0vcGPBejOx7hmvw==" saltValue="w5iBMXckaRUFy5Wnhw1C1w=="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154</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89</v>
      </c>
      <c r="C9" s="7">
        <f>'Fane 3. Omkostninger i ØR2024'!C20</f>
        <v>51294554.948109753</v>
      </c>
      <c r="D9" s="8" t="s">
        <v>3</v>
      </c>
      <c r="E9" s="1"/>
    </row>
    <row r="10" spans="1:5" ht="17.25" customHeight="1" x14ac:dyDescent="0.25">
      <c r="A10" s="1"/>
      <c r="B10" s="64" t="s">
        <v>34</v>
      </c>
      <c r="C10" s="7">
        <f>'Fane 11.1. Varige tillæg'!C20</f>
        <v>2955353.8810999999</v>
      </c>
      <c r="D10" s="8" t="s">
        <v>3</v>
      </c>
      <c r="E10" s="1"/>
    </row>
    <row r="11" spans="1:5" ht="17.25" customHeight="1" x14ac:dyDescent="0.25">
      <c r="A11" s="1"/>
      <c r="B11" s="64" t="s">
        <v>35</v>
      </c>
      <c r="C11" s="9">
        <f>'Fane 11.1. Varige tillæg'!E20</f>
        <v>190836.77730000002</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61</v>
      </c>
      <c r="C14" s="9">
        <f>'Fane 13. Tilknyttet virksomhed'!C12</f>
        <v>0</v>
      </c>
      <c r="D14" s="8" t="s">
        <v>3</v>
      </c>
      <c r="E14" s="1"/>
    </row>
    <row r="15" spans="1:5" ht="17.25" customHeight="1" x14ac:dyDescent="0.25">
      <c r="A15" s="1"/>
      <c r="B15" s="64" t="s">
        <v>62</v>
      </c>
      <c r="C15" s="9">
        <f>'Fane 13. Tilknyttet virksomhed'!E12</f>
        <v>0</v>
      </c>
      <c r="D15" s="8" t="s">
        <v>3</v>
      </c>
      <c r="E15" s="1"/>
    </row>
    <row r="16" spans="1:5" ht="17.25" customHeight="1" x14ac:dyDescent="0.25">
      <c r="A16" s="1"/>
      <c r="B16" s="64" t="s">
        <v>19</v>
      </c>
      <c r="C16" s="38">
        <f>SUM(C9)*'Fane 15. Nøgletal'!C9+SUM(C10:C11,C14:C15)*'Fane 15. Nøgletal'!C10</f>
        <v>4353192.4804591881</v>
      </c>
      <c r="D16" s="8" t="s">
        <v>3</v>
      </c>
      <c r="E16" s="1"/>
    </row>
    <row r="17" spans="1:5" ht="17.25" customHeight="1" x14ac:dyDescent="0.25">
      <c r="A17" s="1"/>
      <c r="B17" s="64" t="s">
        <v>10</v>
      </c>
      <c r="C17" s="38">
        <f>-SUM(C9,C10:C16)*'Fane 5. Individuelt eff. krav'!C9</f>
        <v>-607189.51363184198</v>
      </c>
      <c r="D17" s="8" t="s">
        <v>3</v>
      </c>
      <c r="E17" s="1"/>
    </row>
    <row r="18" spans="1:5" ht="17.25" customHeight="1" x14ac:dyDescent="0.25">
      <c r="A18" s="1"/>
      <c r="B18" s="64" t="s">
        <v>22</v>
      </c>
      <c r="C18" s="38">
        <f>-'Fane 4.1. Gen. krav - drift'!C17</f>
        <v>-389854.62131837272</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57796893.95201873</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22592343.1293949</v>
      </c>
      <c r="D22" s="11" t="s">
        <v>3</v>
      </c>
      <c r="E22" s="1"/>
    </row>
    <row r="23" spans="1:5" ht="15" customHeight="1" x14ac:dyDescent="0.25">
      <c r="A23" s="1"/>
      <c r="B23" s="33" t="s">
        <v>41</v>
      </c>
      <c r="C23" s="28"/>
      <c r="D23" s="19"/>
      <c r="E23" s="1"/>
    </row>
    <row r="24" spans="1:5" ht="15" customHeight="1" x14ac:dyDescent="0.25">
      <c r="A24" s="1"/>
      <c r="B24" s="83" t="s">
        <v>41</v>
      </c>
      <c r="C24" s="10">
        <f>'Fane 12. Periodevise driftsomk.'!C12</f>
        <v>0</v>
      </c>
      <c r="D24" s="11" t="s">
        <v>3</v>
      </c>
      <c r="E24" s="1"/>
    </row>
    <row r="25" spans="1:5" ht="15" customHeight="1" x14ac:dyDescent="0.25">
      <c r="A25" s="1"/>
      <c r="B25" s="41" t="s">
        <v>40</v>
      </c>
      <c r="C25" s="39"/>
      <c r="D25" s="40"/>
      <c r="E25" s="1"/>
    </row>
    <row r="26" spans="1:5" ht="15" customHeight="1" x14ac:dyDescent="0.25">
      <c r="A26" s="1"/>
      <c r="B26" s="64" t="s">
        <v>88</v>
      </c>
      <c r="C26" s="38">
        <f>'Fane 11.2. Engangstillæg'!C15</f>
        <v>23260470.221731149</v>
      </c>
      <c r="D26" s="8" t="s">
        <v>3</v>
      </c>
      <c r="E26" s="1"/>
    </row>
    <row r="27" spans="1:5" ht="15" customHeight="1" x14ac:dyDescent="0.25">
      <c r="A27" s="1"/>
      <c r="B27" s="64" t="s">
        <v>37</v>
      </c>
      <c r="C27" s="38">
        <f>'Fane 11.2. Engangstillæg'!E15</f>
        <v>0</v>
      </c>
      <c r="D27" s="8" t="s">
        <v>3</v>
      </c>
      <c r="E27" s="1"/>
    </row>
    <row r="28" spans="1:5" ht="15" customHeight="1" x14ac:dyDescent="0.25">
      <c r="A28" s="1"/>
      <c r="B28" s="64" t="s">
        <v>91</v>
      </c>
      <c r="C28" s="38">
        <f>-C26*('Fane 15. Nøgletal'!C21+'Fane 5. Individuelt eff. krav'!C9)</f>
        <v>-705429.97921376349</v>
      </c>
      <c r="D28" s="8" t="s">
        <v>3</v>
      </c>
      <c r="E28" s="1"/>
    </row>
    <row r="29" spans="1:5" ht="15" customHeight="1" x14ac:dyDescent="0.25">
      <c r="A29" s="1"/>
      <c r="B29" s="64" t="s">
        <v>92</v>
      </c>
      <c r="C29" s="38">
        <f>-C27*('Fane 15. Nøgletal'!C16+'Fane 5. Individuelt eff. krav'!C9)</f>
        <v>0</v>
      </c>
      <c r="D29" s="8" t="s">
        <v>3</v>
      </c>
      <c r="E29" s="1"/>
    </row>
    <row r="30" spans="1:5" ht="15" customHeight="1" x14ac:dyDescent="0.25">
      <c r="A30" s="1"/>
      <c r="B30" s="67" t="s">
        <v>42</v>
      </c>
      <c r="C30" s="10">
        <f>SUM(C26:C29)</f>
        <v>22555040.242517386</v>
      </c>
      <c r="D30" s="11" t="s">
        <v>3</v>
      </c>
      <c r="E30" s="1"/>
    </row>
    <row r="31" spans="1:5" x14ac:dyDescent="0.25">
      <c r="A31" s="1"/>
      <c r="B31" s="33" t="s">
        <v>68</v>
      </c>
      <c r="C31" s="28"/>
      <c r="D31" s="19"/>
      <c r="E31" s="1"/>
    </row>
    <row r="32" spans="1:5" x14ac:dyDescent="0.25">
      <c r="A32" s="1"/>
      <c r="B32" s="31" t="s">
        <v>78</v>
      </c>
      <c r="C32" s="62">
        <f>'Fane 7. Kontrol af ØR2023'!C27</f>
        <v>-1220300.7118904814</v>
      </c>
      <c r="D32" s="11" t="s">
        <v>3</v>
      </c>
      <c r="E32" s="1"/>
    </row>
    <row r="33" spans="1:5" ht="15" customHeight="1" x14ac:dyDescent="0.25">
      <c r="A33" s="1"/>
      <c r="B33" s="33" t="s">
        <v>153</v>
      </c>
      <c r="C33" s="28"/>
      <c r="D33" s="19"/>
      <c r="E33" s="1"/>
    </row>
    <row r="34" spans="1:5" x14ac:dyDescent="0.25">
      <c r="A34" s="1"/>
      <c r="B34" s="31" t="s">
        <v>153</v>
      </c>
      <c r="C34" s="10">
        <f>'Fane 9. Korrektion af ØR2023'!C16</f>
        <v>0</v>
      </c>
      <c r="D34" s="11" t="s">
        <v>3</v>
      </c>
      <c r="E34" s="1"/>
    </row>
    <row r="35" spans="1:5" x14ac:dyDescent="0.25">
      <c r="A35" s="1"/>
      <c r="B35" s="30" t="s">
        <v>74</v>
      </c>
      <c r="C35" s="28"/>
      <c r="D35" s="19"/>
      <c r="E35" s="1"/>
    </row>
    <row r="36" spans="1:5" x14ac:dyDescent="0.25">
      <c r="A36" s="1"/>
      <c r="B36" s="67" t="s">
        <v>75</v>
      </c>
      <c r="C36" s="10">
        <f>'Fane 8. Skattesagen'!C14</f>
        <v>0</v>
      </c>
      <c r="D36" s="11" t="s">
        <v>3</v>
      </c>
      <c r="E36" s="1"/>
    </row>
    <row r="37" spans="1:5" x14ac:dyDescent="0.25">
      <c r="A37" s="1"/>
      <c r="B37" s="33" t="s">
        <v>70</v>
      </c>
      <c r="C37" s="45">
        <f>SUM(C34,C32,C24,C30,C22,C20,C36)</f>
        <v>101723976.61204053</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8+nK7ZpH1OJ0pkS1cNJFeNDGVWZmxvuWRBTlL/kEFgaTKjNJQl5QY8UlD3TCR9mIqCSYAVuw5Lw4AjwmqdhVnA==" saltValue="HjPL90pHU+AeD0wXZAtcX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7" t="s">
        <v>118</v>
      </c>
      <c r="C3" s="107"/>
      <c r="D3" s="1"/>
    </row>
    <row r="4" spans="1:4" ht="15" customHeight="1" x14ac:dyDescent="0.25">
      <c r="A4" s="1"/>
      <c r="B4" s="107"/>
      <c r="C4" s="107"/>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121</v>
      </c>
      <c r="C9" s="61">
        <v>8.0799999999999997E-2</v>
      </c>
      <c r="D9" s="1"/>
    </row>
    <row r="10" spans="1:4" x14ac:dyDescent="0.25">
      <c r="A10" s="1"/>
      <c r="B10" s="59" t="s">
        <v>227</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49</v>
      </c>
      <c r="C14" s="19"/>
      <c r="D14" s="1"/>
    </row>
    <row r="15" spans="1:4" x14ac:dyDescent="0.25">
      <c r="A15" s="1"/>
      <c r="B15" s="59" t="s">
        <v>211</v>
      </c>
      <c r="C15" s="60">
        <v>0</v>
      </c>
      <c r="D15" s="1"/>
    </row>
    <row r="16" spans="1:4" x14ac:dyDescent="0.25">
      <c r="A16" s="1"/>
      <c r="B16" s="59" t="s">
        <v>228</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50</v>
      </c>
      <c r="C20" s="19"/>
      <c r="D20" s="1"/>
    </row>
    <row r="21" spans="1:4" x14ac:dyDescent="0.25">
      <c r="A21" s="1"/>
      <c r="B21" s="37" t="s">
        <v>58</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1efdhlUqR2xYxpMzML6e5veLIOzlI8ZAuItruTCNt+vE7xdx/70UH6nXBmE91VyeGFLaZbMOxb6o3cLpch29Ig==" saltValue="14fc8B3rS20K/ihIJ2bU1A=="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06" t="s">
        <v>143</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79</v>
      </c>
      <c r="C9" s="7">
        <f>'Fane 2.1. Økonomisk ramme 2025'!C20</f>
        <v>57796893.95201873</v>
      </c>
      <c r="D9" s="8" t="s">
        <v>3</v>
      </c>
      <c r="E9" s="1"/>
    </row>
    <row r="10" spans="1:5" ht="15" customHeight="1" x14ac:dyDescent="0.25">
      <c r="A10" s="1"/>
      <c r="B10" s="26" t="s">
        <v>19</v>
      </c>
      <c r="C10" s="7">
        <f>C9*'Fane 15. Nøgletal'!C10</f>
        <v>3831934.0690188417</v>
      </c>
      <c r="D10" s="8" t="s">
        <v>3</v>
      </c>
      <c r="E10" s="1"/>
    </row>
    <row r="11" spans="1:5" ht="15" customHeight="1" x14ac:dyDescent="0.25">
      <c r="A11" s="1"/>
      <c r="B11" s="26" t="s">
        <v>10</v>
      </c>
      <c r="C11" s="9">
        <f>-SUM(C9:C10)*'Fane 5. Individuelt eff. krav'!C9</f>
        <v>-636466.60403052799</v>
      </c>
      <c r="D11" s="8" t="s">
        <v>3</v>
      </c>
      <c r="E11" s="1"/>
    </row>
    <row r="12" spans="1:5" ht="15" customHeight="1" x14ac:dyDescent="0.25">
      <c r="A12" s="1"/>
      <c r="B12" s="26" t="s">
        <v>22</v>
      </c>
      <c r="C12" s="9">
        <f>-'Fane 4.1. Gen. krav - drift'!C22</f>
        <v>-407387.94305754523</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60584973.473949499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24090215.478873782</v>
      </c>
      <c r="D16" s="11" t="s">
        <v>3</v>
      </c>
      <c r="E16" s="1"/>
    </row>
    <row r="17" spans="1:5" ht="15" customHeight="1" x14ac:dyDescent="0.25">
      <c r="A17" s="1"/>
      <c r="B17" s="33" t="s">
        <v>41</v>
      </c>
      <c r="C17" s="28"/>
      <c r="D17" s="19"/>
      <c r="E17" s="1"/>
    </row>
    <row r="18" spans="1:5" ht="15" customHeight="1" x14ac:dyDescent="0.25">
      <c r="A18" s="1"/>
      <c r="B18" s="83" t="s">
        <v>41</v>
      </c>
      <c r="C18" s="10">
        <f>'Fane 12. Periodevise driftsomk.'!C18</f>
        <v>0</v>
      </c>
      <c r="D18" s="11" t="s">
        <v>3</v>
      </c>
      <c r="E18" s="1"/>
    </row>
    <row r="19" spans="1:5" x14ac:dyDescent="0.25">
      <c r="A19" s="1"/>
      <c r="B19" s="33" t="s">
        <v>68</v>
      </c>
      <c r="C19" s="28"/>
      <c r="D19" s="19"/>
      <c r="E19" s="1"/>
    </row>
    <row r="20" spans="1:5" ht="15" customHeight="1" x14ac:dyDescent="0.25">
      <c r="A20" s="1"/>
      <c r="B20" s="31" t="s">
        <v>78</v>
      </c>
      <c r="C20" s="10">
        <f>'Fane 7. Kontrol af ØR2023'!C33</f>
        <v>0</v>
      </c>
      <c r="D20" s="11" t="s">
        <v>3</v>
      </c>
      <c r="E20" s="1"/>
    </row>
    <row r="21" spans="1:5" x14ac:dyDescent="0.25">
      <c r="A21" s="1"/>
      <c r="B21" s="30" t="s">
        <v>74</v>
      </c>
      <c r="C21" s="28"/>
      <c r="D21" s="19"/>
      <c r="E21" s="1"/>
    </row>
    <row r="22" spans="1:5" x14ac:dyDescent="0.25">
      <c r="A22" s="1"/>
      <c r="B22" s="67" t="s">
        <v>75</v>
      </c>
      <c r="C22" s="10">
        <f>'Fane 8. Skattesagen'!C15</f>
        <v>0</v>
      </c>
      <c r="D22" s="11" t="s">
        <v>3</v>
      </c>
      <c r="E22" s="1"/>
    </row>
    <row r="23" spans="1:5" x14ac:dyDescent="0.25">
      <c r="A23" s="1"/>
      <c r="B23" s="33" t="s">
        <v>80</v>
      </c>
      <c r="C23" s="12">
        <f>SUM(C14,C16,C18,C20,C22)</f>
        <v>84675188.952823281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8nZaBIczQlVbnoJErs6PaqdMHq1TlpSNUrsZ3/XPDBdKaV97Y1hmpU7l6KAosukmJLV+4KTpM2060E2pjS5Jw==" saltValue="1kBGBz7vr5tjRLEwzAFGx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143</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128</v>
      </c>
      <c r="C9" s="7">
        <f>'Fane 2.2. Økonomisk ramme 2026'!C14</f>
        <v>60584973.473949499</v>
      </c>
      <c r="D9" s="8" t="s">
        <v>3</v>
      </c>
      <c r="E9" s="1"/>
    </row>
    <row r="10" spans="1:5" ht="15" customHeight="1" x14ac:dyDescent="0.25">
      <c r="A10" s="1"/>
      <c r="B10" s="26" t="s">
        <v>19</v>
      </c>
      <c r="C10" s="7">
        <f>SUM(C9:C9)*'Fane 15. Nøgletal'!C10</f>
        <v>4016783.7413228517</v>
      </c>
      <c r="D10" s="8" t="s">
        <v>3</v>
      </c>
      <c r="E10" s="1"/>
    </row>
    <row r="11" spans="1:5" ht="15" customHeight="1" x14ac:dyDescent="0.25">
      <c r="A11" s="1"/>
      <c r="B11" s="26" t="s">
        <v>10</v>
      </c>
      <c r="C11" s="9">
        <f>-SUM(C9:C10)*'Fane 5. Individuelt eff. krav'!C9</f>
        <v>-667169.2834264742</v>
      </c>
      <c r="D11" s="8" t="s">
        <v>3</v>
      </c>
      <c r="E11" s="1"/>
    </row>
    <row r="12" spans="1:5" ht="15" customHeight="1" x14ac:dyDescent="0.25">
      <c r="A12" s="1"/>
      <c r="B12" s="26" t="s">
        <v>22</v>
      </c>
      <c r="C12" s="9">
        <f>-'Fane 4.1. Gen. krav - drift'!C27</f>
        <v>-425709.8084086153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63508878.123437263</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25687396.765123114</v>
      </c>
      <c r="D16" s="11" t="s">
        <v>3</v>
      </c>
      <c r="E16" s="1"/>
    </row>
    <row r="17" spans="1:5" ht="15" customHeight="1" x14ac:dyDescent="0.25">
      <c r="A17" s="1"/>
      <c r="B17" s="33" t="s">
        <v>41</v>
      </c>
      <c r="C17" s="28"/>
      <c r="D17" s="19"/>
      <c r="E17" s="1"/>
    </row>
    <row r="18" spans="1:5" ht="15" customHeight="1" x14ac:dyDescent="0.25">
      <c r="A18" s="1"/>
      <c r="B18" s="83" t="s">
        <v>41</v>
      </c>
      <c r="C18" s="10">
        <f>'Fane 12. Periodevise driftsomk.'!C24</f>
        <v>0</v>
      </c>
      <c r="D18" s="11" t="s">
        <v>3</v>
      </c>
      <c r="E18" s="1"/>
    </row>
    <row r="19" spans="1:5" ht="15" customHeight="1" x14ac:dyDescent="0.25">
      <c r="A19" s="1"/>
      <c r="B19" s="33" t="s">
        <v>68</v>
      </c>
      <c r="C19" s="28"/>
      <c r="D19" s="19"/>
      <c r="E19" s="1"/>
    </row>
    <row r="20" spans="1:5" ht="15" customHeight="1" x14ac:dyDescent="0.25">
      <c r="A20" s="1"/>
      <c r="B20" s="31" t="s">
        <v>78</v>
      </c>
      <c r="C20" s="10">
        <f>'Fane 7. Kontrol af ØR2023'!C33</f>
        <v>0</v>
      </c>
      <c r="D20" s="11" t="s">
        <v>3</v>
      </c>
      <c r="E20" s="1"/>
    </row>
    <row r="21" spans="1:5" x14ac:dyDescent="0.25">
      <c r="A21" s="1"/>
      <c r="B21" s="30" t="s">
        <v>74</v>
      </c>
      <c r="C21" s="28"/>
      <c r="D21" s="19"/>
      <c r="E21" s="1"/>
    </row>
    <row r="22" spans="1:5" x14ac:dyDescent="0.25">
      <c r="A22" s="1"/>
      <c r="B22" s="67" t="s">
        <v>75</v>
      </c>
      <c r="C22" s="10">
        <f>'Fane 8. Skattesagen'!C16</f>
        <v>0</v>
      </c>
      <c r="D22" s="11" t="s">
        <v>3</v>
      </c>
      <c r="E22" s="1"/>
    </row>
    <row r="23" spans="1:5" x14ac:dyDescent="0.25">
      <c r="A23" s="1"/>
      <c r="B23" s="33" t="s">
        <v>129</v>
      </c>
      <c r="C23" s="12">
        <f>SUM(C14,C16,C18,C20,C22)</f>
        <v>89196274.888560385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HgvXk4Z+46nZt0u2pjvWQqo4PgrenoRvOnZ57/qfx7GyzXMe9Fp0dOJK3Kho9PA8BquiO4EnhdsJYH1K2gxtJg==" saltValue="rOlUqP65QFDb9T87ORJxZg=="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143</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158</v>
      </c>
      <c r="C9" s="7">
        <f>'Fane 2.3. Økonomisk ramme 2027'!C14</f>
        <v>63508878.123437263</v>
      </c>
      <c r="D9" s="8" t="s">
        <v>3</v>
      </c>
      <c r="E9" s="1"/>
    </row>
    <row r="10" spans="1:5" ht="15" customHeight="1" x14ac:dyDescent="0.25">
      <c r="A10" s="1"/>
      <c r="B10" s="26" t="s">
        <v>19</v>
      </c>
      <c r="C10" s="7">
        <f>SUM(C9:C9)*'Fane 15. Nøgletal'!C10</f>
        <v>4210638.6195838908</v>
      </c>
      <c r="D10" s="8" t="s">
        <v>3</v>
      </c>
      <c r="E10" s="1"/>
    </row>
    <row r="11" spans="1:5" ht="15" customHeight="1" x14ac:dyDescent="0.25">
      <c r="A11" s="1"/>
      <c r="B11" s="26" t="s">
        <v>10</v>
      </c>
      <c r="C11" s="9">
        <f>-SUM(C9:C10)*'Fane 5. Individuelt eff. krav'!C9</f>
        <v>-699367.68606578337</v>
      </c>
      <c r="D11" s="8" t="s">
        <v>3</v>
      </c>
      <c r="E11" s="1"/>
    </row>
    <row r="12" spans="1:5" ht="15" customHeight="1" x14ac:dyDescent="0.25">
      <c r="A12" s="1"/>
      <c r="B12" s="26" t="s">
        <v>22</v>
      </c>
      <c r="C12" s="9">
        <f>-'Fane 4.1. Gen. krav - drift'!C32</f>
        <v>-444855.68133198441</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66575293.37562339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27390471.17065078</v>
      </c>
      <c r="D16" s="11" t="s">
        <v>3</v>
      </c>
      <c r="E16" s="1"/>
    </row>
    <row r="17" spans="1:5" ht="15" customHeight="1" x14ac:dyDescent="0.25">
      <c r="A17" s="1"/>
      <c r="B17" s="33" t="s">
        <v>41</v>
      </c>
      <c r="C17" s="28"/>
      <c r="D17" s="19"/>
      <c r="E17" s="1"/>
    </row>
    <row r="18" spans="1:5" ht="15" customHeight="1" x14ac:dyDescent="0.25">
      <c r="A18" s="1"/>
      <c r="B18" s="83" t="s">
        <v>41</v>
      </c>
      <c r="C18" s="10">
        <f>'Fane 12. Periodevise driftsomk.'!C30</f>
        <v>0</v>
      </c>
      <c r="D18" s="11" t="s">
        <v>3</v>
      </c>
      <c r="E18" s="1"/>
    </row>
    <row r="19" spans="1:5" x14ac:dyDescent="0.25">
      <c r="A19" s="1"/>
      <c r="B19" s="30" t="s">
        <v>74</v>
      </c>
      <c r="C19" s="28"/>
      <c r="D19" s="19"/>
      <c r="E19" s="1"/>
    </row>
    <row r="20" spans="1:5" x14ac:dyDescent="0.25">
      <c r="A20" s="1"/>
      <c r="B20" s="67" t="s">
        <v>75</v>
      </c>
      <c r="C20" s="10">
        <f>'Fane 8. Skattesagen'!C17</f>
        <v>0</v>
      </c>
      <c r="D20" s="11" t="s">
        <v>3</v>
      </c>
      <c r="E20" s="1"/>
    </row>
    <row r="21" spans="1:5" x14ac:dyDescent="0.25">
      <c r="A21" s="1"/>
      <c r="B21" s="33" t="s">
        <v>159</v>
      </c>
      <c r="C21" s="12">
        <f>SUM(C14,C16,C18,C20)</f>
        <v>93965764.54627417</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c50zSlaQ425EaeBcirJNlPgy8/f+l9L5Xk35zj2v0wZhAih7FcDZ3Zd3PT1MAFvDESEDGm68y0X2y3eVnlRnw==" saltValue="ddy5EMhVvnwGJk9SgHdHd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7" t="s">
        <v>160</v>
      </c>
      <c r="C3" s="107"/>
      <c r="D3" s="107"/>
      <c r="E3" s="1"/>
    </row>
    <row r="4" spans="1:5" ht="15" customHeight="1" x14ac:dyDescent="0.25">
      <c r="A4" s="1"/>
      <c r="B4" s="107"/>
      <c r="C4" s="107"/>
      <c r="D4" s="107"/>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161</v>
      </c>
      <c r="C8" s="28"/>
      <c r="D8" s="19"/>
      <c r="E8" s="1"/>
    </row>
    <row r="9" spans="1:5" ht="15" customHeight="1" x14ac:dyDescent="0.25">
      <c r="A9" s="1"/>
      <c r="B9" s="29" t="s">
        <v>63</v>
      </c>
      <c r="C9" s="7">
        <v>47296175.374458358</v>
      </c>
      <c r="D9" s="8" t="s">
        <v>3</v>
      </c>
      <c r="E9" s="1"/>
    </row>
    <row r="10" spans="1:5" ht="15" customHeight="1" x14ac:dyDescent="0.25">
      <c r="A10" s="1"/>
      <c r="B10" s="64" t="s">
        <v>34</v>
      </c>
      <c r="C10" s="7">
        <v>199392.4688</v>
      </c>
      <c r="D10" s="8" t="s">
        <v>3</v>
      </c>
      <c r="E10" s="1"/>
    </row>
    <row r="11" spans="1:5" ht="15" customHeight="1" x14ac:dyDescent="0.25">
      <c r="A11" s="1"/>
      <c r="B11" s="64" t="s">
        <v>35</v>
      </c>
      <c r="C11" s="9">
        <v>747964.38679200003</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61</v>
      </c>
      <c r="C14" s="9">
        <v>0</v>
      </c>
      <c r="D14" s="8" t="s">
        <v>3</v>
      </c>
      <c r="E14" s="1"/>
    </row>
    <row r="15" spans="1:5" ht="15" customHeight="1" x14ac:dyDescent="0.25">
      <c r="A15" s="1"/>
      <c r="B15" s="64" t="s">
        <v>62</v>
      </c>
      <c r="C15" s="9">
        <v>0</v>
      </c>
      <c r="D15" s="8" t="s">
        <v>3</v>
      </c>
      <c r="E15" s="1"/>
    </row>
    <row r="16" spans="1:5" ht="15" customHeight="1" x14ac:dyDescent="0.25">
      <c r="A16" s="1"/>
      <c r="B16" s="64" t="s">
        <v>19</v>
      </c>
      <c r="C16" s="38">
        <v>3898077.4041880686</v>
      </c>
      <c r="D16" s="8" t="s">
        <v>3</v>
      </c>
      <c r="E16" s="1"/>
    </row>
    <row r="17" spans="1:5" ht="15" customHeight="1" x14ac:dyDescent="0.25">
      <c r="A17" s="1"/>
      <c r="B17" s="64" t="s">
        <v>10</v>
      </c>
      <c r="C17" s="38">
        <v>-538488.14391311654</v>
      </c>
      <c r="D17" s="8" t="s">
        <v>3</v>
      </c>
      <c r="E17" s="1"/>
    </row>
    <row r="18" spans="1:5" ht="15" customHeight="1" x14ac:dyDescent="0.25">
      <c r="A18" s="1"/>
      <c r="B18" s="64" t="s">
        <v>22</v>
      </c>
      <c r="C18" s="38">
        <v>-308566.54221554898</v>
      </c>
      <c r="D18" s="8" t="s">
        <v>3</v>
      </c>
      <c r="E18" s="1"/>
    </row>
    <row r="19" spans="1:5" ht="15" customHeight="1" x14ac:dyDescent="0.25">
      <c r="A19" s="1"/>
      <c r="B19" s="64" t="s">
        <v>23</v>
      </c>
      <c r="C19" s="38">
        <v>0</v>
      </c>
      <c r="D19" s="8" t="s">
        <v>3</v>
      </c>
      <c r="E19" s="43"/>
    </row>
    <row r="20" spans="1:5" ht="15" customHeight="1" x14ac:dyDescent="0.25">
      <c r="A20" s="1"/>
      <c r="B20" s="83" t="s">
        <v>21</v>
      </c>
      <c r="C20" s="10">
        <v>51294554.948109753</v>
      </c>
      <c r="D20" s="11" t="s">
        <v>3</v>
      </c>
      <c r="E20" s="1"/>
    </row>
    <row r="21" spans="1:5" ht="15" customHeight="1" x14ac:dyDescent="0.25">
      <c r="A21" s="1"/>
      <c r="B21" s="33" t="s">
        <v>12</v>
      </c>
      <c r="C21" s="28"/>
      <c r="D21" s="19"/>
      <c r="E21" s="1"/>
    </row>
    <row r="22" spans="1:5" ht="15" customHeight="1" x14ac:dyDescent="0.25">
      <c r="A22" s="1"/>
      <c r="B22" s="31" t="s">
        <v>12</v>
      </c>
      <c r="C22" s="10">
        <v>26474977.122371837</v>
      </c>
      <c r="D22" s="11" t="s">
        <v>3</v>
      </c>
      <c r="E22" s="1"/>
    </row>
    <row r="23" spans="1:5" ht="15" customHeight="1" x14ac:dyDescent="0.25">
      <c r="A23" s="1"/>
      <c r="B23" s="33" t="s">
        <v>41</v>
      </c>
      <c r="C23" s="28"/>
      <c r="D23" s="19"/>
      <c r="E23" s="1"/>
    </row>
    <row r="24" spans="1:5" ht="15" customHeight="1" x14ac:dyDescent="0.25">
      <c r="A24" s="1"/>
      <c r="B24" s="83" t="s">
        <v>41</v>
      </c>
      <c r="C24" s="10">
        <v>0</v>
      </c>
      <c r="D24" s="11" t="s">
        <v>3</v>
      </c>
      <c r="E24" s="1"/>
    </row>
    <row r="25" spans="1:5" x14ac:dyDescent="0.25">
      <c r="A25" s="1"/>
      <c r="B25" s="41" t="s">
        <v>40</v>
      </c>
      <c r="C25" s="39"/>
      <c r="D25" s="40"/>
      <c r="E25" s="1"/>
    </row>
    <row r="26" spans="1:5" ht="15" customHeight="1" x14ac:dyDescent="0.25">
      <c r="A26" s="1"/>
      <c r="B26" s="64" t="s">
        <v>88</v>
      </c>
      <c r="C26" s="38">
        <v>88405.143603839999</v>
      </c>
      <c r="D26" s="8" t="s">
        <v>3</v>
      </c>
      <c r="E26" s="1"/>
    </row>
    <row r="27" spans="1:5" ht="15" customHeight="1" x14ac:dyDescent="0.25">
      <c r="A27" s="1"/>
      <c r="B27" s="64" t="s">
        <v>37</v>
      </c>
      <c r="C27" s="38">
        <v>0</v>
      </c>
      <c r="D27" s="8" t="s">
        <v>3</v>
      </c>
      <c r="E27" s="1"/>
    </row>
    <row r="28" spans="1:5" ht="15" customHeight="1" x14ac:dyDescent="0.25">
      <c r="A28" s="1"/>
      <c r="B28" s="64" t="s">
        <v>91</v>
      </c>
      <c r="C28" s="38">
        <v>-2681.0996519143132</v>
      </c>
      <c r="D28" s="8" t="s">
        <v>3</v>
      </c>
      <c r="E28" s="1"/>
    </row>
    <row r="29" spans="1:5" ht="15" customHeight="1" x14ac:dyDescent="0.25">
      <c r="A29" s="1"/>
      <c r="B29" s="64" t="s">
        <v>92</v>
      </c>
      <c r="C29" s="38">
        <v>0</v>
      </c>
      <c r="D29" s="8" t="s">
        <v>3</v>
      </c>
      <c r="E29" s="1"/>
    </row>
    <row r="30" spans="1:5" ht="15" customHeight="1" x14ac:dyDescent="0.25">
      <c r="A30" s="1"/>
      <c r="B30" s="67" t="s">
        <v>42</v>
      </c>
      <c r="C30" s="10">
        <v>85724.043951925691</v>
      </c>
      <c r="D30" s="11" t="s">
        <v>3</v>
      </c>
      <c r="E30" s="1"/>
    </row>
    <row r="31" spans="1:5" ht="15" customHeight="1" x14ac:dyDescent="0.25">
      <c r="A31" s="1"/>
      <c r="B31" s="33" t="s">
        <v>68</v>
      </c>
      <c r="C31" s="28"/>
      <c r="D31" s="19"/>
      <c r="E31" s="1"/>
    </row>
    <row r="32" spans="1:5" ht="15" customHeight="1" x14ac:dyDescent="0.25">
      <c r="A32" s="1"/>
      <c r="B32" s="31" t="s">
        <v>78</v>
      </c>
      <c r="C32" s="10">
        <v>-1220301</v>
      </c>
      <c r="D32" s="11" t="s">
        <v>3</v>
      </c>
      <c r="E32" s="1"/>
    </row>
    <row r="33" spans="1:5" x14ac:dyDescent="0.25">
      <c r="A33" s="1"/>
      <c r="B33" s="33" t="s">
        <v>127</v>
      </c>
      <c r="C33" s="28"/>
      <c r="D33" s="19"/>
      <c r="E33" s="1"/>
    </row>
    <row r="34" spans="1:5" ht="15.4" customHeight="1" x14ac:dyDescent="0.25">
      <c r="A34" s="1"/>
      <c r="B34" s="31" t="s">
        <v>127</v>
      </c>
      <c r="C34" s="10">
        <v>0</v>
      </c>
      <c r="D34" s="11" t="s">
        <v>3</v>
      </c>
      <c r="E34" s="1"/>
    </row>
    <row r="35" spans="1:5" ht="15.4" customHeight="1" x14ac:dyDescent="0.25">
      <c r="A35" s="1"/>
      <c r="B35" s="30" t="s">
        <v>74</v>
      </c>
      <c r="C35" s="28"/>
      <c r="D35" s="19"/>
      <c r="E35" s="1"/>
    </row>
    <row r="36" spans="1:5" x14ac:dyDescent="0.25">
      <c r="A36" s="1"/>
      <c r="B36" s="67" t="s">
        <v>75</v>
      </c>
      <c r="C36" s="10">
        <v>0</v>
      </c>
      <c r="D36" s="11" t="s">
        <v>3</v>
      </c>
      <c r="E36" s="1"/>
    </row>
    <row r="37" spans="1:5" x14ac:dyDescent="0.25">
      <c r="A37" s="1"/>
      <c r="B37" s="33" t="s">
        <v>64</v>
      </c>
      <c r="C37" s="45">
        <v>76634955.114433512</v>
      </c>
      <c r="D37" s="30" t="s">
        <v>3</v>
      </c>
      <c r="E37" s="1"/>
    </row>
    <row r="38" spans="1:5" ht="30" customHeight="1" x14ac:dyDescent="0.25">
      <c r="A38" s="1"/>
      <c r="B38" s="108" t="s">
        <v>225</v>
      </c>
      <c r="C38" s="108"/>
      <c r="D38" s="108"/>
      <c r="E38" s="1"/>
    </row>
    <row r="39" spans="1:5" x14ac:dyDescent="0.25">
      <c r="A39" s="1"/>
      <c r="B39" s="1"/>
      <c r="C39" s="1"/>
      <c r="D39" s="1"/>
      <c r="E39" s="1"/>
    </row>
    <row r="40" spans="1:5" ht="27" customHeight="1"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MzRZRpfebdLn+hv2LHUK5J5DyjHVUP+5kKTvHxb+/E5OvNtyqAtkCT3h5/chJ105YAxgPzsJEE0rsRjtFvNEAQ==" saltValue="dS/6EdhrXvlZnjvKbcz2hA==" spinCount="100000" sheet="1" objects="1" scenarios="1"/>
  <mergeCells count="2">
    <mergeCell ref="B3:D4"/>
    <mergeCell ref="B38:D3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7" t="s">
        <v>55</v>
      </c>
      <c r="C3" s="107"/>
      <c r="D3" s="107"/>
      <c r="E3" s="1"/>
    </row>
    <row r="4" spans="1:5" ht="15" customHeight="1" x14ac:dyDescent="0.25">
      <c r="A4" s="1"/>
      <c r="B4" s="107"/>
      <c r="C4" s="107"/>
      <c r="D4" s="107"/>
      <c r="E4" s="1"/>
    </row>
    <row r="5" spans="1:5" ht="15" customHeight="1" x14ac:dyDescent="0.25">
      <c r="A5" s="1"/>
      <c r="B5" s="107"/>
      <c r="C5" s="107"/>
      <c r="D5" s="107"/>
      <c r="E5" s="1"/>
    </row>
    <row r="6" spans="1:5" ht="15" customHeight="1" x14ac:dyDescent="0.25">
      <c r="A6" s="1"/>
      <c r="B6" s="76"/>
      <c r="C6" s="76"/>
      <c r="D6" s="76"/>
      <c r="E6" s="1"/>
    </row>
    <row r="7" spans="1:5" x14ac:dyDescent="0.25">
      <c r="A7" s="1"/>
      <c r="B7" s="1"/>
      <c r="C7" s="1"/>
      <c r="D7" s="1"/>
      <c r="E7" s="1"/>
    </row>
    <row r="8" spans="1:5" x14ac:dyDescent="0.25">
      <c r="A8" s="1"/>
      <c r="B8" s="109" t="s">
        <v>122</v>
      </c>
      <c r="C8" s="110"/>
      <c r="D8" s="111"/>
      <c r="E8" s="1"/>
    </row>
    <row r="9" spans="1:5" x14ac:dyDescent="0.25">
      <c r="A9" s="1"/>
      <c r="B9" s="65" t="s">
        <v>87</v>
      </c>
      <c r="C9" s="23">
        <v>15212823.730498413</v>
      </c>
      <c r="D9" s="14" t="s">
        <v>3</v>
      </c>
      <c r="E9" s="1"/>
    </row>
    <row r="10" spans="1:5" x14ac:dyDescent="0.25">
      <c r="A10" s="1"/>
      <c r="B10" s="65" t="s">
        <v>124</v>
      </c>
      <c r="C10" s="23">
        <f>('Fane 3. Omkostninger i ØR2024'!C10+'Fane 3. Omkostninger i ØR2024'!C12+'Fane 3. Omkostninger i ØR2024'!C14)*(1+'Fane 15. Nøgletal'!C9)</f>
        <v>215503.38027903999</v>
      </c>
      <c r="D10" s="14" t="s">
        <v>3</v>
      </c>
      <c r="E10" s="1"/>
    </row>
    <row r="11" spans="1:5" x14ac:dyDescent="0.25">
      <c r="A11" s="1"/>
      <c r="B11" s="65" t="s">
        <v>130</v>
      </c>
      <c r="C11" s="23">
        <f>C9*'Fane 15. Nøgletal'!C21+C10*'Fane 15. Nøgletal'!C21</f>
        <v>308566.54221554904</v>
      </c>
      <c r="D11" s="14" t="s">
        <v>3</v>
      </c>
      <c r="E11" s="1"/>
    </row>
    <row r="12" spans="1:5" x14ac:dyDescent="0.25">
      <c r="A12" s="1"/>
      <c r="B12" s="33"/>
      <c r="C12" s="28"/>
      <c r="D12" s="19"/>
      <c r="E12" s="1"/>
    </row>
    <row r="13" spans="1:5" x14ac:dyDescent="0.25">
      <c r="A13" s="1"/>
      <c r="B13" s="1"/>
      <c r="C13" s="1"/>
      <c r="D13" s="1"/>
      <c r="E13" s="1"/>
    </row>
    <row r="14" spans="1:5" x14ac:dyDescent="0.25">
      <c r="A14" s="1"/>
      <c r="B14" s="109" t="s">
        <v>123</v>
      </c>
      <c r="C14" s="110"/>
      <c r="D14" s="111"/>
      <c r="E14" s="1"/>
    </row>
    <row r="15" spans="1:5" x14ac:dyDescent="0.25">
      <c r="A15" s="1"/>
      <c r="B15" s="65" t="s">
        <v>132</v>
      </c>
      <c r="C15" s="23">
        <f>(C9+C10-C11)*(1+'Fane 15. Nøgletal'!C9)</f>
        <v>16341437.222501706</v>
      </c>
      <c r="D15" s="14" t="s">
        <v>3</v>
      </c>
      <c r="E15" s="1"/>
    </row>
    <row r="16" spans="1:5" x14ac:dyDescent="0.25">
      <c r="A16" s="1"/>
      <c r="B16" s="65" t="s">
        <v>182</v>
      </c>
      <c r="C16" s="23">
        <f>('Fane 2.1. Økonomisk ramme 2025'!C10+'Fane 2.1. Økonomisk ramme 2025'!C12+'Fane 2.1. Økonomisk ramme 2025'!C14)*(1+'Fane 15. Nøgletal'!C10)</f>
        <v>3151293.8434169302</v>
      </c>
      <c r="D16" s="14" t="s">
        <v>3</v>
      </c>
      <c r="E16" s="1"/>
    </row>
    <row r="17" spans="1:5" x14ac:dyDescent="0.25">
      <c r="A17" s="1"/>
      <c r="B17" s="65" t="s">
        <v>131</v>
      </c>
      <c r="C17" s="23">
        <f>C15*'Fane 15. Nøgletal'!C21+C16*'Fane 15. Nøgletal'!C21</f>
        <v>389854.62131837272</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144</v>
      </c>
      <c r="C20" s="110"/>
      <c r="D20" s="111"/>
      <c r="E20" s="1"/>
    </row>
    <row r="21" spans="1:5" x14ac:dyDescent="0.25">
      <c r="A21" s="1"/>
      <c r="B21" s="65" t="s">
        <v>187</v>
      </c>
      <c r="C21" s="23">
        <f>(C15+C16-C17)*(1+'Fane 15. Nøgletal'!C10)</f>
        <v>20369397.15287726</v>
      </c>
      <c r="D21" s="14" t="s">
        <v>3</v>
      </c>
      <c r="E21" s="1"/>
    </row>
    <row r="22" spans="1:5" x14ac:dyDescent="0.25">
      <c r="A22" s="1"/>
      <c r="B22" s="65" t="s">
        <v>194</v>
      </c>
      <c r="C22" s="23">
        <f>C21*'Fane 15. Nøgletal'!C21</f>
        <v>407387.94305754523</v>
      </c>
      <c r="D22" s="14" t="s">
        <v>3</v>
      </c>
      <c r="E22" s="1"/>
    </row>
    <row r="23" spans="1:5" x14ac:dyDescent="0.25">
      <c r="A23" s="1"/>
      <c r="B23" s="33"/>
      <c r="C23" s="28"/>
      <c r="D23" s="19"/>
      <c r="E23" s="1"/>
    </row>
    <row r="24" spans="1:5" x14ac:dyDescent="0.25">
      <c r="A24" s="1"/>
      <c r="B24" s="1"/>
      <c r="C24" s="1"/>
      <c r="D24" s="1"/>
      <c r="E24" s="1"/>
    </row>
    <row r="25" spans="1:5" x14ac:dyDescent="0.25">
      <c r="A25" s="1"/>
      <c r="B25" s="109" t="s">
        <v>185</v>
      </c>
      <c r="C25" s="110"/>
      <c r="D25" s="111"/>
      <c r="E25" s="1"/>
    </row>
    <row r="26" spans="1:5" x14ac:dyDescent="0.25">
      <c r="A26" s="1"/>
      <c r="B26" s="65" t="s">
        <v>188</v>
      </c>
      <c r="C26" s="23">
        <f>(C21-C22)*(1+'Fane 15. Nøgletal'!C10)</f>
        <v>21285490.420430765</v>
      </c>
      <c r="D26" s="14" t="s">
        <v>3</v>
      </c>
      <c r="E26" s="1"/>
    </row>
    <row r="27" spans="1:5" x14ac:dyDescent="0.25">
      <c r="A27" s="1"/>
      <c r="B27" s="65" t="s">
        <v>192</v>
      </c>
      <c r="C27" s="23">
        <f>C26*'Fane 15. Nøgletal'!C21</f>
        <v>425709.8084086153</v>
      </c>
      <c r="D27" s="14" t="s">
        <v>3</v>
      </c>
      <c r="E27" s="1"/>
    </row>
    <row r="28" spans="1:5" x14ac:dyDescent="0.25">
      <c r="A28" s="1"/>
      <c r="B28" s="33"/>
      <c r="C28" s="28"/>
      <c r="D28" s="19"/>
      <c r="E28" s="1"/>
    </row>
    <row r="29" spans="1:5" x14ac:dyDescent="0.25">
      <c r="A29" s="1"/>
      <c r="B29" s="1"/>
      <c r="C29" s="1"/>
      <c r="D29" s="1"/>
      <c r="E29" s="1"/>
    </row>
    <row r="30" spans="1:5" x14ac:dyDescent="0.25">
      <c r="A30" s="1"/>
      <c r="B30" s="109" t="s">
        <v>186</v>
      </c>
      <c r="C30" s="110"/>
      <c r="D30" s="111"/>
      <c r="E30" s="1"/>
    </row>
    <row r="31" spans="1:5" x14ac:dyDescent="0.25">
      <c r="A31" s="1"/>
      <c r="B31" s="65" t="s">
        <v>189</v>
      </c>
      <c r="C31" s="23">
        <f>(C26-C27)*(1+'Fane 15. Nøgletal'!C10)</f>
        <v>22242784.06659922</v>
      </c>
      <c r="D31" s="14" t="s">
        <v>3</v>
      </c>
      <c r="E31" s="1"/>
    </row>
    <row r="32" spans="1:5" x14ac:dyDescent="0.25">
      <c r="A32" s="1"/>
      <c r="B32" s="65" t="s">
        <v>193</v>
      </c>
      <c r="C32" s="23">
        <f>C31*'Fane 15. Nøgletal'!C21</f>
        <v>444855.68133198441</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LkHbf+69iaYpfmU983bcHHuSNN3Tp4XadMr+to++B0cAuiZ7XOOhVZL/xBaT//cpibV69GD/1fioD19ZDo0MMw==" saltValue="FkQ0gWVABnekz4IKLu7Fiw=="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56</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146</v>
      </c>
      <c r="C8" s="110"/>
      <c r="D8" s="111"/>
      <c r="E8" s="1"/>
    </row>
    <row r="9" spans="1:5" x14ac:dyDescent="0.25">
      <c r="A9" s="1"/>
      <c r="B9" s="65" t="s">
        <v>133</v>
      </c>
      <c r="C9" s="23">
        <v>38354816.189979769</v>
      </c>
      <c r="D9" s="14" t="s">
        <v>3</v>
      </c>
      <c r="E9" s="1"/>
    </row>
    <row r="10" spans="1:5" x14ac:dyDescent="0.25">
      <c r="A10" s="1"/>
      <c r="B10" s="65" t="s">
        <v>125</v>
      </c>
      <c r="C10" s="23">
        <f>('Fane 3. Omkostninger i ØR2024'!C11+'Fane 3. Omkostninger i ØR2024'!C13+'Fane 3. Omkostninger i ØR2024'!C15)*(1+'Fane 15. Nøgletal'!C9)</f>
        <v>808399.90924479358</v>
      </c>
      <c r="D10" s="14" t="s">
        <v>3</v>
      </c>
      <c r="E10" s="1"/>
    </row>
    <row r="11" spans="1:5" x14ac:dyDescent="0.25">
      <c r="A11" s="1"/>
      <c r="B11" s="65" t="s">
        <v>134</v>
      </c>
      <c r="C11" s="7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145</v>
      </c>
      <c r="C14" s="110"/>
      <c r="D14" s="111"/>
      <c r="E14" s="1"/>
    </row>
    <row r="15" spans="1:5" x14ac:dyDescent="0.25">
      <c r="A15" s="1"/>
      <c r="B15" s="65" t="s">
        <v>135</v>
      </c>
      <c r="C15" s="23">
        <f>(C9+C10-C11)*(1+'Fane 15. Nøgletal'!C9)</f>
        <v>42327603.960041903</v>
      </c>
      <c r="D15" s="14" t="s">
        <v>3</v>
      </c>
      <c r="E15" s="1"/>
    </row>
    <row r="16" spans="1:5" x14ac:dyDescent="0.25">
      <c r="A16" s="1"/>
      <c r="B16" s="65" t="s">
        <v>183</v>
      </c>
      <c r="C16" s="23">
        <f>('Fane 2.1. Økonomisk ramme 2025'!C11+'Fane 2.1. Økonomisk ramme 2025'!C13+'Fane 2.1. Økonomisk ramme 2025'!C15)*(1+'Fane 15. Nøgletal'!C10)</f>
        <v>203489.25563499003</v>
      </c>
      <c r="D16" s="14" t="s">
        <v>3</v>
      </c>
      <c r="E16" s="1"/>
    </row>
    <row r="17" spans="1:5" x14ac:dyDescent="0.25">
      <c r="A17" s="1"/>
      <c r="B17" s="65" t="s">
        <v>136</v>
      </c>
      <c r="C17" s="7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81</v>
      </c>
      <c r="C20" s="110"/>
      <c r="D20" s="111"/>
      <c r="E20" s="1"/>
    </row>
    <row r="21" spans="1:5" x14ac:dyDescent="0.25">
      <c r="A21" s="1"/>
      <c r="B21" s="65" t="s">
        <v>190</v>
      </c>
      <c r="C21" s="23">
        <f>(C15+C16-C17)*(1+'Fane 15. Nøgletal'!C10)</f>
        <v>45350904.695876278</v>
      </c>
      <c r="D21" s="14" t="s">
        <v>3</v>
      </c>
      <c r="E21" s="1"/>
    </row>
    <row r="22" spans="1:5" x14ac:dyDescent="0.25">
      <c r="A22" s="1"/>
      <c r="B22" s="65" t="s">
        <v>195</v>
      </c>
      <c r="C22" s="7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137</v>
      </c>
      <c r="C25" s="110"/>
      <c r="D25" s="111"/>
      <c r="E25" s="1"/>
    </row>
    <row r="26" spans="1:5" x14ac:dyDescent="0.25">
      <c r="A26" s="1"/>
      <c r="B26" s="65" t="s">
        <v>191</v>
      </c>
      <c r="C26" s="23">
        <f>(C21-C22)*(1+'Fane 15. Nøgletal'!C10)</f>
        <v>48357669.677212879</v>
      </c>
      <c r="D26" s="14" t="s">
        <v>3</v>
      </c>
      <c r="E26" s="1"/>
    </row>
    <row r="27" spans="1:5" x14ac:dyDescent="0.25">
      <c r="A27" s="1"/>
      <c r="B27" s="65" t="s">
        <v>196</v>
      </c>
      <c r="C27" s="7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162</v>
      </c>
      <c r="C30" s="110"/>
      <c r="D30" s="111"/>
      <c r="E30" s="1"/>
    </row>
    <row r="31" spans="1:5" x14ac:dyDescent="0.25">
      <c r="A31" s="1"/>
      <c r="B31" s="65" t="s">
        <v>198</v>
      </c>
      <c r="C31" s="23">
        <f>(C26-C27)*(1+'Fane 15. Nøgletal'!C10)</f>
        <v>51563783.176812097</v>
      </c>
      <c r="D31" s="14" t="s">
        <v>3</v>
      </c>
      <c r="E31" s="1"/>
    </row>
    <row r="32" spans="1:5" x14ac:dyDescent="0.25">
      <c r="A32" s="1"/>
      <c r="B32" s="65" t="s">
        <v>197</v>
      </c>
      <c r="C32" s="7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R6ThEA0cNi0RnFJHmU3TdLkDd6Ozwoqy5svSCytnAl/57ESX7AOqxtmOqgWACGgRS8yMuAwbouWbLOtuoMmsCg==" saltValue="hTsLGHxHhmsYxLLSaxMWD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43</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226</v>
      </c>
      <c r="C9" s="22">
        <v>1.0327416964886371E-2</v>
      </c>
      <c r="D9" s="1"/>
    </row>
    <row r="10" spans="1:4" x14ac:dyDescent="0.25">
      <c r="A10" s="1"/>
      <c r="B10" s="33"/>
      <c r="C10" s="19"/>
      <c r="D10" s="1"/>
    </row>
    <row r="11" spans="1:4" x14ac:dyDescent="0.25">
      <c r="A11" s="1"/>
      <c r="B11" s="113" t="s">
        <v>216</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LHBnKf0fqj3JBlwzuWM2H2E5QExI1OXc366dUkaUPLKV9LAhnpNynMP7dbbZANXzOA8I21ZMdHL53bTPJng/Q==" saltValue="iXad48iXkYHtWTJ1R6cu8g=="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2024-05-06T07:45:39Z</cp:lastPrinted>
  <dcterms:created xsi:type="dcterms:W3CDTF">2016-06-02T08:51:18Z</dcterms:created>
  <dcterms:modified xsi:type="dcterms:W3CDTF">2024-09-24T07:12:37Z</dcterms:modified>
</cp:coreProperties>
</file>