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vidovre AS (S044)\ØR2024\"/>
    </mc:Choice>
  </mc:AlternateContent>
  <xr:revisionPtr revIDLastSave="0" documentId="13_ncr:1_{2221C275-3F96-4332-B799-9CD04C3A16D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E13" i="20" s="1"/>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6" i="2"/>
  <c r="C17" i="2" s="1"/>
  <c r="C13" i="15" l="1"/>
  <c r="C18" i="2"/>
  <c r="C20" i="2" s="1"/>
  <c r="G64" i="36" l="1"/>
  <c r="C13" i="22" s="1"/>
  <c r="G59" i="30"/>
  <c r="G63" i="30" s="1"/>
  <c r="G69" i="36" l="1"/>
  <c r="C13" i="23" s="1"/>
  <c r="G64" i="30"/>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<sst xmlns="http://schemas.openxmlformats.org/spreadsheetml/2006/main" count="654" uniqueCount="290">
  <si>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</si>
  <si>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</si>
  <si>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</si>
  <si>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</si>
  <si>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</si>
  <si>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</si>
  <si>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</si>
  <si>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</si>
  <si>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</si>
  <si>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</si>
  <si>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</si>
  <si>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</si>
  <si>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</si>
  <si>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</si>
  <si>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</si>
  <si>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</si>
  <si>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</si>
  <si>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</si>
  <si>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</si>
  <si>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</si>
  <si>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</si>
  <si>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</si>
  <si>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</si>
  <si>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</si>
  <si>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</si>
  <si>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</si>
  <si>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</si>
  <si>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</si>
  <si>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</si>
  <si>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</si>
  <si>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</si>
  <si>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</si>
  <si>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</si>
  <si>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</si>
  <si>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</si>
  <si>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</si>
  <si>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</si>
  <si>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</si>
  <si>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</si>
  <si>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</si>
  <si>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</si>
  <si>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</si>
  <si>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</si>
  <si>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</si>
  <si>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</si>
  <si>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</si>
  <si>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</si>
  <si>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</si>
  <si>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</si>
  <si>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</si>
  <si>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</si>
  <si>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</si>
  <si>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</si>
  <si>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</si>
  <si>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</si>
  <si>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</si>
  <si>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</si>
  <si>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</si>
  <si>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</si>
  <si>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</si>
  <si>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</si>
  <si>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</si>
  <si>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</si>
  <si>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</si>
  <si>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</si>
  <si>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</si>
  <si>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</si>
  <si>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</si>
  <si>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</si>
  <si>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</si>
  <si>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</si>
  <si>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</si>
  <si>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</si>
  <si>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</si>
  <si>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</si>
  <si>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</si>
  <si>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</si>
  <si>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</si>
  <si>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</si>
  <si>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</si>
  <si>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</si>
  <si>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</si>
  <si>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</si>
  <si>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</si>
  <si>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</si>
  <si>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</si>
  <si>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</si>
  <si>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</si>
  <si>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</si>
  <si>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</si>
  <si>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</si>
  <si>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</si>
  <si>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</si>
  <si>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</si>
  <si>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</si>
  <si>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</si>
  <si>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</si>
  <si>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</si>
  <si>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</si>
  <si>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</si>
  <si>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</si>
  <si>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</si>
  <si>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</si>
  <si>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</si>
  <si>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</si>
  <si>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</si>
  <si>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</si>
  <si>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</si>
  <si>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</si>
  <si>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</si>
  <si>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</si>
  <si>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</si>
  <si>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</si>
  <si>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</si>
  <si>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</si>
  <si>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</si>
  <si>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</si>
  <si>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</si>
  <si>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</si>
  <si>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</si>
  <si>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</si>
  <si>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</si>
  <si>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</si>
  <si>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</si>
  <si>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</si>
  <si>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</si>
  <si>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</si>
  <si>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</si>
  <si>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</si>
  <si>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</si>
  <si>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</si>
  <si>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</si>
  <si>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</si>
  <si>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</si>
  <si>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</si>
  <si>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</si>
  <si>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</si>
  <si>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</si>
  <si>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</si>
  <si>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</si>
  <si>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</si>
  <si>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</si>
  <si>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</si>
  <si>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</si>
  <si>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</si>
  <si>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</si>
  <si>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</si>
  <si>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</si>
  <si>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</si>
  <si>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</si>
  <si>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</si>
  <si>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</si>
  <si>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</si>
  <si>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</si>
  <si>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</si>
  <si>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</si>
  <si>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</si>
  <si>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</si>
  <si>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</si>
  <si>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</si>
  <si>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</si>
  <si>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</si>
  <si>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</si>
  <si>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</si>
  <si>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</si>
  <si>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</si>
  <si>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</si>
  <si>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</si>
  <si>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</si>
  <si>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</si>
  <si>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</si>
  <si>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</si>
  <si>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</si>
  <si>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</si>
  <si>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</si>
  <si>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</si>
  <si>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</si>
  <si>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</si>
  <si>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</si>
  <si>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</si>
  <si>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</si>
  <si>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</si>
  <si>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</si>
  <si>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</si>
  <si>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</si>
  <si>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</si>
  <si>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</si>
  <si>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</si>
  <si>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</si>
  <si>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</si>
  <si>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</si>
  <si>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</si>
  <si>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</si>
  <si>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</si>
  <si>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</si>
  <si>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</si>
  <si>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</si>
  <si>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</si>
  <si>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</si>
  <si>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</si>
  <si>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</si>
  <si>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</si>
  <si>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</si>
  <si>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</si>
  <si>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</si>
  <si>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</si>
  <si>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</si>
  <si>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</si>
  <si>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</si>
  <si>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</si>
  <si>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</si>
  <si>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</si>
  <si>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</si>
  <si>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</si>
  <si>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</si>
  <si>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</si>
  <si>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</si>
  <si>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</si>
  <si>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</si>
  <si>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</si>
  <si>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</si>
  <si>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</si>
  <si>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</si>
  <si>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</si>
  <si>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</si>
  <si>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</si>
  <si>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</si>
  <si>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</si>
  <si>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</si>
  <si>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</si>
  <si>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</si>
  <si>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</si>
  <si>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</si>
  <si>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</si>
  <si>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</si>
  <si>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</si>
  <si>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</si>
  <si>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</si>
  <si>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</si>
  <si>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</si>
  <si>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</si>
  <si>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</si>
  <si>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</si>
  <si>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</si>
  <si>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</si>
  <si>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</si>
  <si>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</si>
  <si>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</si>
  <si>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</si>
  <si>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</si>
  <si>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</si>
  <si>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</si>
  <si>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</si>
  <si>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</si>
  <si>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</si>
  <si>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</si>
  <si>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</si>
  <si>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</si>
  <si>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</si>
  <si>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</si>
  <si>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</si>
  <si>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</si>
  <si>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</si>
  <si>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</si>
  <si>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</si>
  <si>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</si>
  <si>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</si>
  <si>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</si>
  <si>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</si>
  <si>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</si>
  <si>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</si>
  <si>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</si>
  <si>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</si>
  <si>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</si>
  <si>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</si>
  <si>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Tjenestemandspensioner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</si>
  <si>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</si>
  <si>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</si>
  <si>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</si>
  <si>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</si>
  <si>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</si>
  <si>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</si>
  <si>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</si>
  <si>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</si>
  <si>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</si>
  <si>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</si>
  <si>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</si>
  <si>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</si>
  <si>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Øget antal kunder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</si>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</sst>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yYGnz9zfVk0s+z/78IiG8AxTRGFXADtoaP4oXQS3F4g5+W7+QF+FKbMun9auAKB1wbUaljnyf68MJzRViPT6Tw==" saltValue="6rUSs336zql7PFVmLYLW3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2" t="s">
        <v>272</v>
      </c>
      <c r="C10" s="9">
        <v>126115</v>
      </c>
      <c r="D10" s="14" t="s">
        <v>3</v>
      </c>
      <c r="E10" s="1"/>
      <c r="F10" s="1"/>
    </row>
    <row r="11" spans="1:6" ht="26.25" x14ac:dyDescent="0.25">
      <c r="A11" s="1"/>
      <c r="B11" s="29" t="s">
        <v>273</v>
      </c>
      <c r="C11" s="9">
        <v>21797775</v>
      </c>
      <c r="D11" s="14" t="s">
        <v>3</v>
      </c>
      <c r="E11" s="1"/>
      <c r="F11" s="1"/>
    </row>
    <row r="12" spans="1:6" x14ac:dyDescent="0.25">
      <c r="A12" s="1"/>
      <c r="B12" s="82" t="s">
        <v>274</v>
      </c>
      <c r="C12" s="9">
        <v>36418</v>
      </c>
      <c r="D12" s="14" t="s">
        <v>3</v>
      </c>
      <c r="E12" s="1"/>
      <c r="F12" s="1"/>
    </row>
    <row r="13" spans="1:6" x14ac:dyDescent="0.25">
      <c r="A13" s="1"/>
      <c r="B13" s="82" t="s">
        <v>275</v>
      </c>
      <c r="C13" s="9">
        <v>388190</v>
      </c>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22348498</v>
      </c>
      <c r="D20" s="13" t="s">
        <v>3</v>
      </c>
      <c r="E20" s="1"/>
      <c r="F20" s="1"/>
    </row>
    <row r="21" spans="1:6" x14ac:dyDescent="0.25">
      <c r="A21" s="1"/>
      <c r="B21" s="33" t="s">
        <v>227</v>
      </c>
      <c r="C21" s="12">
        <f>C20*(1+'Fane 15. Nøgletal'!C16)^2</f>
        <v>26105920.574782718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AfspVbponCvWqAn8GNzWUv2Aw7TNG6Ruc2bffxagxOqmaZbsuEikOnnSMErWggsL+aF9XGI5jJFsuMdQB/AHHw==" saltValue="gbGbof4DbN2Th+SrMCHW9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611A-DEEF-4857-91E4-0268FD327457}">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276</v>
      </c>
      <c r="C9" s="122"/>
      <c r="D9" s="123"/>
      <c r="E9" s="9">
        <v>16648928</v>
      </c>
      <c r="F9" s="14" t="s">
        <v>3</v>
      </c>
      <c r="G9" s="1"/>
    </row>
    <row r="10" spans="1:7" ht="15" customHeight="1" x14ac:dyDescent="0.25">
      <c r="A10" s="1"/>
      <c r="B10" s="121" t="s">
        <v>143</v>
      </c>
      <c r="C10" s="122"/>
      <c r="D10" s="123"/>
      <c r="E10" s="9">
        <v>-5280776</v>
      </c>
      <c r="F10" s="14" t="s">
        <v>3</v>
      </c>
      <c r="G10" s="1"/>
    </row>
    <row r="11" spans="1:7" ht="15" customHeight="1" x14ac:dyDescent="0.25">
      <c r="A11" s="1"/>
      <c r="B11" s="121" t="s">
        <v>277</v>
      </c>
      <c r="C11" s="122"/>
      <c r="D11" s="123"/>
      <c r="E11" s="9">
        <v>-7398763</v>
      </c>
      <c r="F11" s="14" t="s">
        <v>3</v>
      </c>
      <c r="G11" s="1"/>
    </row>
    <row r="12" spans="1:7" x14ac:dyDescent="0.25">
      <c r="A12" s="1"/>
      <c r="B12" s="33"/>
      <c r="C12" s="28"/>
      <c r="D12" s="28"/>
      <c r="E12" s="28"/>
      <c r="F12" s="19"/>
      <c r="G12" s="1"/>
    </row>
    <row r="13" spans="1:7" ht="42" customHeight="1" x14ac:dyDescent="0.25">
      <c r="A13" s="1"/>
      <c r="B13" s="115" t="s">
        <v>278</v>
      </c>
      <c r="C13" s="116"/>
      <c r="D13" s="116"/>
      <c r="E13" s="116"/>
      <c r="F13" s="117"/>
      <c r="G13" s="1"/>
    </row>
    <row r="14" spans="1:7" ht="15" customHeight="1" x14ac:dyDescent="0.25">
      <c r="A14" s="1"/>
      <c r="B14" s="1"/>
      <c r="C14" s="1"/>
      <c r="D14" s="1"/>
      <c r="E14" s="1"/>
      <c r="F14" s="1"/>
      <c r="G14" s="1"/>
    </row>
    <row r="15" spans="1:7" x14ac:dyDescent="0.25">
      <c r="A15" s="1"/>
      <c r="B15" s="76" t="s">
        <v>279</v>
      </c>
      <c r="C15" s="77"/>
      <c r="D15" s="77"/>
      <c r="E15" s="77"/>
      <c r="F15" s="78"/>
      <c r="G15" s="1"/>
    </row>
    <row r="16" spans="1:7" x14ac:dyDescent="0.25">
      <c r="A16" s="1"/>
      <c r="B16" s="79" t="s">
        <v>280</v>
      </c>
      <c r="C16" s="80"/>
      <c r="D16" s="81"/>
      <c r="E16" s="9">
        <f>IF(E11&lt;0,E11,0)</f>
        <v>-7398763</v>
      </c>
      <c r="F16" s="14" t="s">
        <v>3</v>
      </c>
      <c r="G16" s="1"/>
    </row>
    <row r="17" spans="1:7" x14ac:dyDescent="0.25">
      <c r="A17" s="1"/>
      <c r="B17" s="79" t="s">
        <v>281</v>
      </c>
      <c r="C17" s="80"/>
      <c r="D17" s="81"/>
      <c r="E17" s="9">
        <f>IF(SUM(E10)&gt;0,SUM(E10),0)</f>
        <v>0</v>
      </c>
      <c r="F17" s="14" t="s">
        <v>3</v>
      </c>
      <c r="G17" s="1"/>
    </row>
    <row r="18" spans="1:7" x14ac:dyDescent="0.25">
      <c r="A18" s="1"/>
      <c r="B18" s="83" t="s">
        <v>282</v>
      </c>
      <c r="C18" s="84"/>
      <c r="D18" s="85"/>
      <c r="E18" s="62">
        <f>IF(SUM(E16:E17)&gt;0,0,SUM(E16:E17))</f>
        <v>-7398763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283</v>
      </c>
      <c r="C21" s="77"/>
      <c r="D21" s="77"/>
      <c r="E21" s="77"/>
      <c r="F21" s="78"/>
      <c r="G21" s="1"/>
    </row>
    <row r="22" spans="1:7" x14ac:dyDescent="0.25">
      <c r="A22" s="1"/>
      <c r="B22" s="79" t="s">
        <v>284</v>
      </c>
      <c r="C22" s="80"/>
      <c r="D22" s="81"/>
      <c r="E22" s="9">
        <v>88348613</v>
      </c>
      <c r="F22" s="14" t="s">
        <v>3</v>
      </c>
      <c r="G22" s="1"/>
    </row>
    <row r="23" spans="1:7" x14ac:dyDescent="0.25">
      <c r="A23" s="1"/>
      <c r="B23" s="79" t="s">
        <v>285</v>
      </c>
      <c r="C23" s="80"/>
      <c r="D23" s="81"/>
      <c r="E23" s="9">
        <v>100301297</v>
      </c>
      <c r="F23" s="14" t="s">
        <v>3</v>
      </c>
      <c r="G23" s="1"/>
    </row>
    <row r="24" spans="1:7" x14ac:dyDescent="0.25">
      <c r="A24" s="1"/>
      <c r="B24" s="79" t="s">
        <v>30</v>
      </c>
      <c r="C24" s="80"/>
      <c r="D24" s="81"/>
      <c r="E24" s="9">
        <v>0</v>
      </c>
      <c r="F24" s="14" t="s">
        <v>3</v>
      </c>
      <c r="G24" s="1"/>
    </row>
    <row r="25" spans="1:7" x14ac:dyDescent="0.25">
      <c r="A25" s="1"/>
      <c r="B25" s="83" t="s">
        <v>286</v>
      </c>
      <c r="C25" s="84"/>
      <c r="D25" s="85"/>
      <c r="E25" s="62">
        <f>E22-E23-E24</f>
        <v>-11952684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287</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-19351447</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-9675723.5</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YejdDt8w5JO1TlFOMbpv4ORA9hn7s0ewewioKWv/J42JcOUL9hU3Uaf9d/g8v/dv8j21Xjdc4NAKQGYCenrXUw==" saltValue="RApDOOvp7KWJMzsTQQUZb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LS06vFHMcffs/Io+VhfBl5Jy2Kued0V6j0xn4eMk+SQigoKO1sp5z46WkHDsepvANT4xQzHImP0uwNvGDJGQ==" saltValue="A6Wj6Yc5VHbR++EGG2PBg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l///lan6tHgffVoqkwhDDZKWCLjpsRM/lYxNghXBdSlSzoeGkHw7HEYZN5EwEo2YP/EnI4G8q73qVWiWxiSgQ==" saltValue="7XwZtspOz9gZx1rxrP5B2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zPAWT8Vh++eh4TrVtIJwDbB/IkEREpp/Z0eqI9z+74QiPKtgbiK2e/EexpQyWrABjyQGrtQPeW8bLSDsfiD7Sw==" saltValue="mSWNy2GkT4ggysP+9ndfM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433139</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433139</v>
      </c>
      <c r="D19" s="13" t="s">
        <v>3</v>
      </c>
      <c r="E19" s="12">
        <f>SUM(E10:E18)</f>
        <v>0</v>
      </c>
      <c r="F19" s="13" t="s">
        <v>3</v>
      </c>
      <c r="G19" s="1"/>
    </row>
    <row r="20" spans="1:7" x14ac:dyDescent="0.25">
      <c r="A20" s="1"/>
      <c r="B20" s="33" t="s">
        <v>233</v>
      </c>
      <c r="C20" s="12">
        <f>C19*(1+'Fane 15. Nøgletal'!C16)</f>
        <v>468136.6312</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J/IOy1LPKqQ2Yw4ZcS5dAQo6mceBxjma7Df920OGrK62JZcT+STBV32Vb2mnq8ILhD+LCuRYCyaQYUmvRpB1g==" saltValue="o5SMs+2pC//VqT0wkiBXC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7" t="s">
        <v>17</v>
      </c>
      <c r="C9" s="87" t="s">
        <v>11</v>
      </c>
      <c r="D9" s="88"/>
      <c r="E9" s="87"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2zPC6NWce9leI1YgD9SQ9i/Gcv/VzpXiqeGwv20q+HDtlrHoFHKQCBQlesU2mky1Puta92EHrqX9IJXQ1WGBBA==" saltValue="AmLTY0l4ire6eD7LD3i5C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82607.384062328492</v>
      </c>
      <c r="F10" s="14" t="s">
        <v>3</v>
      </c>
      <c r="G10" s="1"/>
    </row>
    <row r="11" spans="1:7" x14ac:dyDescent="0.25">
      <c r="A11" s="1"/>
      <c r="B11" s="151" t="s">
        <v>10</v>
      </c>
      <c r="C11" s="152"/>
      <c r="D11" s="153"/>
      <c r="E11" s="9">
        <f>-E10*'Fane 5. Individuelt eff. krav'!G9</f>
        <v>-383.70822394433793</v>
      </c>
      <c r="F11" s="14" t="s">
        <v>3</v>
      </c>
      <c r="G11" s="1"/>
    </row>
    <row r="12" spans="1:7" x14ac:dyDescent="0.25">
      <c r="A12" s="1"/>
      <c r="B12" s="151" t="s">
        <v>23</v>
      </c>
      <c r="C12" s="152"/>
      <c r="D12" s="153"/>
      <c r="E12" s="9">
        <f>-E10*'Fane 15. Nøgletal'!C33</f>
        <v>-1652.1476812465698</v>
      </c>
      <c r="F12" s="14" t="s">
        <v>3</v>
      </c>
      <c r="G12" s="1"/>
    </row>
    <row r="13" spans="1:7" x14ac:dyDescent="0.25">
      <c r="A13" s="1"/>
      <c r="B13" s="118" t="s">
        <v>111</v>
      </c>
      <c r="C13" s="119"/>
      <c r="D13" s="120"/>
      <c r="E13" s="12">
        <f>SUM(E10:E12)*(1+'Fane 15. Nøgletal'!C16)^2</f>
        <v>94117.909608918824</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82607.384062328492</v>
      </c>
      <c r="F16" s="14" t="s">
        <v>3</v>
      </c>
      <c r="G16" s="1"/>
    </row>
    <row r="17" spans="1:7" x14ac:dyDescent="0.25">
      <c r="A17" s="1"/>
      <c r="B17" s="151" t="s">
        <v>10</v>
      </c>
      <c r="C17" s="152"/>
      <c r="D17" s="153"/>
      <c r="E17" s="9">
        <f>-E16*'Fane 5. Individuelt eff. krav'!G9</f>
        <v>-383.70822394433793</v>
      </c>
      <c r="F17" s="14" t="s">
        <v>3</v>
      </c>
      <c r="G17" s="1"/>
    </row>
    <row r="18" spans="1:7" x14ac:dyDescent="0.25">
      <c r="A18" s="1"/>
      <c r="B18" s="151" t="s">
        <v>23</v>
      </c>
      <c r="C18" s="152"/>
      <c r="D18" s="153"/>
      <c r="E18" s="9">
        <f>-E16*'Fane 15. Nøgletal'!C33</f>
        <v>-1652.1476812465698</v>
      </c>
      <c r="F18" s="14" t="s">
        <v>3</v>
      </c>
      <c r="G18" s="1"/>
    </row>
    <row r="19" spans="1:7" x14ac:dyDescent="0.25">
      <c r="A19" s="1"/>
      <c r="B19" s="118" t="s">
        <v>125</v>
      </c>
      <c r="C19" s="119"/>
      <c r="D19" s="120"/>
      <c r="E19" s="12">
        <f>SUM(E16:E18)*(1+'Fane 15. Nøgletal'!C16)^3</f>
        <v>101722.63670531947</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82607.384062328492</v>
      </c>
      <c r="F22" s="14" t="s">
        <v>3</v>
      </c>
      <c r="G22" s="1"/>
    </row>
    <row r="23" spans="1:7" x14ac:dyDescent="0.25">
      <c r="A23" s="1"/>
      <c r="B23" s="151" t="s">
        <v>10</v>
      </c>
      <c r="C23" s="152"/>
      <c r="D23" s="153"/>
      <c r="E23" s="9">
        <f>-E22*'Fane 5. Individuelt eff. krav'!G9</f>
        <v>-383.70822394433793</v>
      </c>
      <c r="F23" s="14" t="s">
        <v>3</v>
      </c>
      <c r="G23" s="1"/>
    </row>
    <row r="24" spans="1:7" x14ac:dyDescent="0.25">
      <c r="A24" s="1"/>
      <c r="B24" s="151" t="s">
        <v>23</v>
      </c>
      <c r="C24" s="152"/>
      <c r="D24" s="153"/>
      <c r="E24" s="9">
        <f>-E22*'Fane 15. Nøgletal'!C33</f>
        <v>-1652.1476812465698</v>
      </c>
      <c r="F24" s="14" t="s">
        <v>3</v>
      </c>
      <c r="G24" s="1"/>
    </row>
    <row r="25" spans="1:7" x14ac:dyDescent="0.25">
      <c r="A25" s="1"/>
      <c r="B25" s="118" t="s">
        <v>146</v>
      </c>
      <c r="C25" s="119"/>
      <c r="D25" s="120"/>
      <c r="E25" s="12">
        <f>SUM(E22:E24)*(1+'Fane 15. Nøgletal'!C16)^4</f>
        <v>109941.82575110927</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82607.384062328492</v>
      </c>
      <c r="F28" s="14" t="s">
        <v>3</v>
      </c>
      <c r="G28" s="1"/>
    </row>
    <row r="29" spans="1:7" x14ac:dyDescent="0.25">
      <c r="A29" s="1"/>
      <c r="B29" s="151" t="s">
        <v>10</v>
      </c>
      <c r="C29" s="152"/>
      <c r="D29" s="153"/>
      <c r="E29" s="9">
        <f>-E28*'Fane 5. Individuelt eff. krav'!G9</f>
        <v>-383.70822394433793</v>
      </c>
      <c r="F29" s="14" t="s">
        <v>3</v>
      </c>
      <c r="G29" s="1"/>
    </row>
    <row r="30" spans="1:7" x14ac:dyDescent="0.25">
      <c r="A30" s="1"/>
      <c r="B30" s="151" t="s">
        <v>23</v>
      </c>
      <c r="C30" s="152"/>
      <c r="D30" s="153"/>
      <c r="E30" s="9">
        <f>-E28*'Fane 15. Nøgletal'!C33</f>
        <v>-1652.1476812465698</v>
      </c>
      <c r="F30" s="14" t="s">
        <v>3</v>
      </c>
      <c r="G30" s="1"/>
    </row>
    <row r="31" spans="1:7" x14ac:dyDescent="0.25">
      <c r="A31" s="1"/>
      <c r="B31" s="118" t="s">
        <v>238</v>
      </c>
      <c r="C31" s="119"/>
      <c r="D31" s="120"/>
      <c r="E31" s="12">
        <f>SUM(E28:E30)*(1+'Fane 15. Nøgletal'!C16)^5</f>
        <v>118825.1252717989</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By4aBvgXqBWovqLBdjGrRcVD+JFzy4zkFpxuo46lG2t8k9eQDsCDyneuvoy4GuGh0QgfH8F8hHEES0Rhj4kBA==" saltValue="/fngsMZmTj0vEmNL6hg+3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TCl+UCsCHYRj6hCTzJMtOksaYQ3A4i9Um3YOsQD8wcxPlq1Ccc5DSMMSafeX9D0S7NEDLRVx8aT3788VCIGHQ==" saltValue="9fC7efpYEvlyscoPpNXqL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nvVamlNRcuCtKp2rLZGG55I2pKEOlROzuPiL6x5T/blf7epcND0dwEXw+7plbfNie+4tRrunv5iabB71NPNyQ==" saltValue="inlc413B+pqbiMnrH7Pez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62659223.479734205</v>
      </c>
      <c r="D9" s="8" t="s">
        <v>3</v>
      </c>
      <c r="E9" s="1"/>
    </row>
    <row r="10" spans="1:5" ht="17.25" customHeight="1" x14ac:dyDescent="0.25">
      <c r="A10" s="1"/>
      <c r="B10" s="89" t="s">
        <v>36</v>
      </c>
      <c r="C10" s="7">
        <f>'Fane 11.1. Varige tillæg'!C20</f>
        <v>468136.6312</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5100690.6969634835</v>
      </c>
      <c r="D16" s="8" t="s">
        <v>3</v>
      </c>
      <c r="E16" s="1"/>
    </row>
    <row r="17" spans="1:5" ht="17.25" customHeight="1" x14ac:dyDescent="0.25">
      <c r="A17" s="1"/>
      <c r="B17" s="89" t="s">
        <v>10</v>
      </c>
      <c r="C17" s="41">
        <f>-SUM(C9,C10:C16)*'Fane 5. Individuelt eff. krav'!G9</f>
        <v>-316916.75624214811</v>
      </c>
      <c r="D17" s="8" t="s">
        <v>3</v>
      </c>
      <c r="E17" s="1"/>
    </row>
    <row r="18" spans="1:5" ht="17.25" customHeight="1" x14ac:dyDescent="0.25">
      <c r="A18" s="1"/>
      <c r="B18" s="89" t="s">
        <v>23</v>
      </c>
      <c r="C18" s="41">
        <f>-'Fane 4.1. Gen. krav - drift'!G54</f>
        <v>-298393.01091111015</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67612741.040744439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26105920.574782718</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94117.909608918824</v>
      </c>
      <c r="D24" s="11" t="s">
        <v>3</v>
      </c>
      <c r="E24" s="1"/>
    </row>
    <row r="25" spans="1:5" ht="15" customHeight="1" x14ac:dyDescent="0.25">
      <c r="A25" s="1"/>
      <c r="B25" s="44" t="s">
        <v>73</v>
      </c>
      <c r="C25" s="42"/>
      <c r="D25" s="43"/>
      <c r="E25" s="1"/>
    </row>
    <row r="26" spans="1:5" ht="15" customHeight="1" x14ac:dyDescent="0.25">
      <c r="A26" s="1"/>
      <c r="B26" s="89" t="s">
        <v>158</v>
      </c>
      <c r="C26" s="72">
        <f>'Fane 11.2. Engangstillæg'!C14</f>
        <v>0</v>
      </c>
      <c r="D26" s="8" t="s">
        <v>3</v>
      </c>
      <c r="E26" s="1"/>
    </row>
    <row r="27" spans="1:5" ht="15" customHeight="1" x14ac:dyDescent="0.25">
      <c r="A27" s="1"/>
      <c r="B27" s="89" t="s">
        <v>70</v>
      </c>
      <c r="C27" s="72">
        <f>'Fane 11.2. Engangstillæg'!E14</f>
        <v>0</v>
      </c>
      <c r="D27" s="8" t="s">
        <v>3</v>
      </c>
      <c r="E27" s="1"/>
    </row>
    <row r="28" spans="1:5" ht="15" customHeight="1" x14ac:dyDescent="0.25">
      <c r="A28" s="1"/>
      <c r="B28" s="89" t="s">
        <v>161</v>
      </c>
      <c r="C28" s="72">
        <f>-C26*('Fane 15. Nøgletal'!C33+'Fane 5. Individuelt eff. krav'!G9)</f>
        <v>0</v>
      </c>
      <c r="D28" s="8" t="s">
        <v>3</v>
      </c>
      <c r="E28" s="1"/>
    </row>
    <row r="29" spans="1:5" ht="15" customHeight="1" x14ac:dyDescent="0.25">
      <c r="A29" s="1"/>
      <c r="B29" s="89"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-9675723.5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84137056.025136083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4DEwivaeMkiksVqv82HJctt1tqFfm7y7rBXNdsHfyNIswVnq6VZKt1XPTH3crVgJ+whHLXmAnAO2eRRovxYAQ==" saltValue="16qOOhr6F8z1lPLkB3B8T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R2x/U8rdy62uugi5HaEEeGPN9Eucozxlr9R/9/AXvTwkyb0Workn2AFBg1bUKf4SxKOTn0rKWVkbkXwqDWFKPw==" saltValue="Asw3FdxEVs6gvwBMBJfbr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67612741.040744439</v>
      </c>
      <c r="D9" s="8" t="s">
        <v>3</v>
      </c>
      <c r="E9" s="1"/>
    </row>
    <row r="10" spans="1:5" ht="15" customHeight="1" x14ac:dyDescent="0.25">
      <c r="A10" s="1"/>
      <c r="B10" s="26" t="s">
        <v>19</v>
      </c>
      <c r="C10" s="7">
        <f>SUM(C9:C9)*'Fane 15. Nøgletal'!C16</f>
        <v>5463109.4760921504</v>
      </c>
      <c r="D10" s="8" t="s">
        <v>3</v>
      </c>
      <c r="E10" s="1"/>
    </row>
    <row r="11" spans="1:5" ht="15" customHeight="1" x14ac:dyDescent="0.25">
      <c r="A11" s="1"/>
      <c r="B11" s="26" t="s">
        <v>10</v>
      </c>
      <c r="C11" s="9">
        <f>-SUM(C9:C10)*'Fane 5. Individuelt eff. krav'!G9</f>
        <v>-339434.60543286114</v>
      </c>
      <c r="D11" s="8" t="s">
        <v>3</v>
      </c>
      <c r="E11" s="1"/>
    </row>
    <row r="12" spans="1:5" ht="15" customHeight="1" x14ac:dyDescent="0.25">
      <c r="A12" s="1"/>
      <c r="B12" s="26" t="s">
        <v>23</v>
      </c>
      <c r="C12" s="9">
        <f>-'Fane 4.1. Gen. krav - drift'!G59</f>
        <v>-316053.10286887328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72420362.808534846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28215278.957225163</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101722.63670531947</v>
      </c>
      <c r="D18" s="11" t="s">
        <v>3</v>
      </c>
      <c r="E18" s="1"/>
    </row>
    <row r="19" spans="1:5" x14ac:dyDescent="0.25">
      <c r="A19" s="1"/>
      <c r="B19" s="33" t="s">
        <v>116</v>
      </c>
      <c r="C19" s="28"/>
      <c r="D19" s="19"/>
      <c r="E19" s="1"/>
    </row>
    <row r="20" spans="1:5" ht="15" customHeight="1" x14ac:dyDescent="0.25">
      <c r="A20" s="1"/>
      <c r="B20" s="31" t="s">
        <v>138</v>
      </c>
      <c r="C20" s="10">
        <f>'Fane 7. Kontrol af ØR2022'!E31</f>
        <v>-9675723.5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91061640.902465329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8/6YG6oAl4gWeY1a6FWgUFXzY22xO52MBC7G17Szx3hwoWyg8HHO91rvHEr01wC/GoMaj+Fjq7CohWxozTBKQ==" saltValue="jm8Hw9wOTLrqjXTsMKimA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72420362.808534846</v>
      </c>
      <c r="D9" s="8" t="s">
        <v>3</v>
      </c>
      <c r="E9" s="1"/>
    </row>
    <row r="10" spans="1:5" ht="15" customHeight="1" x14ac:dyDescent="0.25">
      <c r="A10" s="1"/>
      <c r="B10" s="26" t="s">
        <v>19</v>
      </c>
      <c r="C10" s="7">
        <f>SUM(C9:C9)*'Fane 15. Nøgletal'!C16</f>
        <v>5851565.3149296157</v>
      </c>
      <c r="D10" s="8" t="s">
        <v>3</v>
      </c>
      <c r="E10" s="1"/>
    </row>
    <row r="11" spans="1:5" ht="15" customHeight="1" x14ac:dyDescent="0.25">
      <c r="A11" s="1"/>
      <c r="B11" s="26" t="s">
        <v>10</v>
      </c>
      <c r="C11" s="9">
        <f>-SUM(C9:C10)*'Fane 5. Individuelt eff. krav'!G9</f>
        <v>-363570.19249384099</v>
      </c>
      <c r="D11" s="8" t="s">
        <v>3</v>
      </c>
      <c r="E11" s="1"/>
    </row>
    <row r="12" spans="1:5" ht="15" customHeight="1" x14ac:dyDescent="0.25">
      <c r="A12" s="1"/>
      <c r="B12" s="26" t="s">
        <v>23</v>
      </c>
      <c r="C12" s="9">
        <f>-'Fane 4.1. Gen. krav - drift'!G64</f>
        <v>-334758.38970906468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77573599.541261554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30495073.496968955</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109941.82575110927</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108178614.86398162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Ox5eZ9SNl3W9a9N6FGOSCLGPEZd6GF9NLPvD+IqnhBwl3j/sESPFi+Acpjf48O5iEOB6mAuf0EzKm7XyQsVw==" saltValue="D/hymWsYt1PPkUplQER5Q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77573599.541261554</v>
      </c>
      <c r="D9" s="8" t="s">
        <v>3</v>
      </c>
      <c r="E9" s="1"/>
      <c r="F9" s="1"/>
    </row>
    <row r="10" spans="1:6" ht="15" customHeight="1" x14ac:dyDescent="0.25">
      <c r="A10" s="1"/>
      <c r="B10" s="26" t="s">
        <v>19</v>
      </c>
      <c r="C10" s="7">
        <f>SUM(C9:C9)*'Fane 15. Nøgletal'!C16</f>
        <v>6267946.8429339333</v>
      </c>
      <c r="D10" s="8" t="s">
        <v>3</v>
      </c>
      <c r="E10" s="1"/>
      <c r="F10" s="1"/>
    </row>
    <row r="11" spans="1:6" ht="15" customHeight="1" x14ac:dyDescent="0.25">
      <c r="A11" s="1"/>
      <c r="B11" s="26" t="s">
        <v>10</v>
      </c>
      <c r="C11" s="9">
        <f>-SUM(C9:C10)*'Fane 5. Individuelt eff. krav'!G9</f>
        <v>-389440.86198823602</v>
      </c>
      <c r="D11" s="8" t="s">
        <v>3</v>
      </c>
      <c r="E11" s="1"/>
      <c r="F11" s="1"/>
    </row>
    <row r="12" spans="1:6" ht="15" customHeight="1" x14ac:dyDescent="0.25">
      <c r="A12" s="1"/>
      <c r="B12" s="26" t="s">
        <v>23</v>
      </c>
      <c r="C12" s="9">
        <f>-'Fane 4.1. Gen. krav - drift'!G69</f>
        <v>-354570.73024560593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83097534.791961655</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32959075.435524043</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118825.1252717989</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116175435.3527575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87rLDZsBmXMJSIN+o8Ub0eS/yKihFy8gdbrnFQDsWdhe+I7LGogeTmL0CA8zGJjQ073SatyowtZpg7ieVhXrGQ==" saltValue="l+cu7GXQe/xlJDtVKCNjx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64183733.578499198</v>
      </c>
      <c r="D9" s="8" t="s">
        <v>3</v>
      </c>
      <c r="E9" s="1"/>
    </row>
    <row r="10" spans="1:5" x14ac:dyDescent="0.25">
      <c r="A10" s="1"/>
      <c r="B10" s="89" t="s">
        <v>36</v>
      </c>
      <c r="C10" s="7">
        <v>643348.89480000001</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234709.54146392734</v>
      </c>
      <c r="D16" s="8" t="s">
        <v>3</v>
      </c>
      <c r="E16" s="1"/>
    </row>
    <row r="17" spans="1:5" x14ac:dyDescent="0.25">
      <c r="A17" s="1"/>
      <c r="B17" s="89" t="s">
        <v>10</v>
      </c>
      <c r="C17" s="41">
        <v>-1301235.8402952624</v>
      </c>
      <c r="D17" s="8" t="s">
        <v>3</v>
      </c>
      <c r="E17" s="1"/>
    </row>
    <row r="18" spans="1:5" x14ac:dyDescent="0.25">
      <c r="A18" s="1"/>
      <c r="B18" s="89" t="s">
        <v>23</v>
      </c>
      <c r="C18" s="41">
        <v>-272165.90270537598</v>
      </c>
      <c r="D18" s="8" t="s">
        <v>3</v>
      </c>
      <c r="E18" s="1"/>
    </row>
    <row r="19" spans="1:5" x14ac:dyDescent="0.25">
      <c r="A19" s="1"/>
      <c r="B19" s="89" t="s">
        <v>24</v>
      </c>
      <c r="C19" s="41">
        <v>-829166.79202827928</v>
      </c>
      <c r="D19" s="8" t="s">
        <v>3</v>
      </c>
      <c r="E19" s="47"/>
    </row>
    <row r="20" spans="1:5" x14ac:dyDescent="0.25">
      <c r="A20" s="1"/>
      <c r="B20" s="83" t="s">
        <v>21</v>
      </c>
      <c r="C20" s="10">
        <v>62659223.479734205</v>
      </c>
      <c r="D20" s="11" t="s">
        <v>3</v>
      </c>
      <c r="E20" s="1"/>
    </row>
    <row r="21" spans="1:5" x14ac:dyDescent="0.25">
      <c r="A21" s="1"/>
      <c r="B21" s="33" t="s">
        <v>12</v>
      </c>
      <c r="C21" s="28"/>
      <c r="D21" s="19"/>
      <c r="E21" s="1"/>
    </row>
    <row r="22" spans="1:5" x14ac:dyDescent="0.25">
      <c r="A22" s="1"/>
      <c r="B22" s="31" t="s">
        <v>12</v>
      </c>
      <c r="C22" s="10">
        <v>24888300.659696162</v>
      </c>
      <c r="D22" s="11" t="s">
        <v>3</v>
      </c>
      <c r="E22" s="1"/>
    </row>
    <row r="23" spans="1:5" x14ac:dyDescent="0.25">
      <c r="A23" s="1"/>
      <c r="B23" s="33" t="s">
        <v>74</v>
      </c>
      <c r="C23" s="28"/>
      <c r="D23" s="19"/>
      <c r="E23" s="1"/>
    </row>
    <row r="24" spans="1:5" x14ac:dyDescent="0.25">
      <c r="A24" s="1"/>
      <c r="B24" s="83" t="s">
        <v>74</v>
      </c>
      <c r="C24" s="10">
        <v>84770.232410802622</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149962</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87782256.371841162</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l8xjgd7LpRG0LxqOazFCeEOrgIDRFrjS2ozDrNEVJWLJO9/5p+laJml5m0k3ErtWEKkeEyN2LfPNQzXUB2qqQ==" saltValue="X2/ejmuK5mF8jx8imZBQr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8" t="s">
        <v>46</v>
      </c>
      <c r="C4" s="119"/>
      <c r="D4" s="119"/>
      <c r="E4" s="119"/>
      <c r="F4" s="119"/>
      <c r="G4" s="119"/>
      <c r="H4" s="120"/>
      <c r="I4" s="1"/>
    </row>
    <row r="5" spans="1:9" x14ac:dyDescent="0.25">
      <c r="A5" s="1"/>
      <c r="B5" s="121" t="s">
        <v>38</v>
      </c>
      <c r="C5" s="122"/>
      <c r="D5" s="122"/>
      <c r="E5" s="122"/>
      <c r="F5" s="123"/>
      <c r="G5" s="63">
        <v>13442955</v>
      </c>
      <c r="H5" s="14" t="s">
        <v>3</v>
      </c>
      <c r="I5" s="1"/>
    </row>
    <row r="6" spans="1:9" x14ac:dyDescent="0.25">
      <c r="A6" s="1"/>
      <c r="B6" s="115" t="s">
        <v>102</v>
      </c>
      <c r="C6" s="116"/>
      <c r="D6" s="116"/>
      <c r="E6" s="116"/>
      <c r="F6" s="117"/>
      <c r="G6" s="66">
        <v>77095</v>
      </c>
      <c r="H6" s="14" t="s">
        <v>3</v>
      </c>
      <c r="I6" s="1"/>
    </row>
    <row r="7" spans="1:9" x14ac:dyDescent="0.25">
      <c r="A7" s="1"/>
      <c r="B7" s="121" t="s">
        <v>39</v>
      </c>
      <c r="C7" s="122"/>
      <c r="D7" s="122"/>
      <c r="E7" s="122"/>
      <c r="F7" s="123"/>
      <c r="G7" s="23">
        <f>SUM(G5:G6)*'Fane 15. Nøgletal'!C33</f>
        <v>270401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13403073.695</v>
      </c>
      <c r="H11" s="14" t="s">
        <v>3</v>
      </c>
      <c r="I11" s="1"/>
    </row>
    <row r="12" spans="1:9" ht="15" customHeight="1" x14ac:dyDescent="0.25">
      <c r="A12" s="1"/>
      <c r="B12" s="121" t="s">
        <v>103</v>
      </c>
      <c r="C12" s="122"/>
      <c r="D12" s="122"/>
      <c r="E12" s="122"/>
      <c r="F12" s="123"/>
      <c r="G12" s="66">
        <v>-0.48349215713795279</v>
      </c>
      <c r="H12" s="14" t="s">
        <v>3</v>
      </c>
      <c r="I12" s="1"/>
    </row>
    <row r="13" spans="1:9" x14ac:dyDescent="0.25">
      <c r="A13" s="1"/>
      <c r="B13" s="115" t="s">
        <v>100</v>
      </c>
      <c r="C13" s="116"/>
      <c r="D13" s="116"/>
      <c r="E13" s="116"/>
      <c r="F13" s="117"/>
      <c r="G13" s="66">
        <v>78446.197500000009</v>
      </c>
      <c r="H13" s="14" t="s">
        <v>3</v>
      </c>
      <c r="I13" s="1"/>
    </row>
    <row r="14" spans="1:9" x14ac:dyDescent="0.25">
      <c r="A14" s="1"/>
      <c r="B14" s="124" t="s">
        <v>244</v>
      </c>
      <c r="C14" s="125"/>
      <c r="D14" s="125"/>
      <c r="E14" s="125"/>
      <c r="F14" s="126"/>
      <c r="G14" s="66">
        <v>0</v>
      </c>
      <c r="H14" s="14" t="s">
        <v>3</v>
      </c>
      <c r="I14" s="1"/>
    </row>
    <row r="15" spans="1:9" x14ac:dyDescent="0.25">
      <c r="A15" s="1"/>
      <c r="B15" s="121" t="s">
        <v>41</v>
      </c>
      <c r="C15" s="122"/>
      <c r="D15" s="122"/>
      <c r="E15" s="122"/>
      <c r="F15" s="123"/>
      <c r="G15" s="23">
        <f>SUM(G11:G14)*'Fane 15. Nøgletal'!C33</f>
        <v>269630.38818015688</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13363278.072735922</v>
      </c>
      <c r="H19" s="14" t="s">
        <v>3</v>
      </c>
      <c r="I19" s="1"/>
    </row>
    <row r="20" spans="1:9" x14ac:dyDescent="0.25">
      <c r="A20" s="1"/>
      <c r="B20" s="124" t="s">
        <v>245</v>
      </c>
      <c r="C20" s="125"/>
      <c r="D20" s="125"/>
      <c r="E20" s="125"/>
      <c r="F20" s="126"/>
      <c r="G20" s="66">
        <v>0</v>
      </c>
      <c r="H20" s="14" t="s">
        <v>3</v>
      </c>
      <c r="I20" s="1"/>
    </row>
    <row r="21" spans="1:9" x14ac:dyDescent="0.25">
      <c r="A21" s="1"/>
      <c r="B21" s="121" t="s">
        <v>43</v>
      </c>
      <c r="C21" s="122"/>
      <c r="D21" s="122"/>
      <c r="E21" s="122"/>
      <c r="F21" s="123"/>
      <c r="G21" s="23">
        <f>SUM(G19:G20)*'Fane 15. Nøgletal'!C33</f>
        <v>267265.56145471847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13354003.957753444</v>
      </c>
      <c r="H25" s="14" t="s">
        <v>3</v>
      </c>
      <c r="I25" s="1"/>
    </row>
    <row r="26" spans="1:9" x14ac:dyDescent="0.25">
      <c r="A26" s="1"/>
      <c r="B26" s="124" t="s">
        <v>246</v>
      </c>
      <c r="C26" s="125"/>
      <c r="D26" s="125"/>
      <c r="E26" s="125"/>
      <c r="F26" s="126"/>
      <c r="G26" s="66">
        <v>6204.41553303</v>
      </c>
      <c r="H26" s="14" t="s">
        <v>3</v>
      </c>
      <c r="I26" s="1"/>
    </row>
    <row r="27" spans="1:9" x14ac:dyDescent="0.25">
      <c r="A27" s="1"/>
      <c r="B27" s="121" t="s">
        <v>45</v>
      </c>
      <c r="C27" s="122"/>
      <c r="D27" s="122"/>
      <c r="E27" s="122"/>
      <c r="F27" s="123"/>
      <c r="G27" s="23">
        <f>(G25+G26)*'Fane 15. Nøgletal'!C33</f>
        <v>267204.16746572952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13350936.388675414</v>
      </c>
      <c r="H31" s="14" t="s">
        <v>3</v>
      </c>
      <c r="I31" s="1"/>
    </row>
    <row r="32" spans="1:9" x14ac:dyDescent="0.25">
      <c r="A32" s="1"/>
      <c r="B32" s="121" t="s">
        <v>243</v>
      </c>
      <c r="C32" s="122"/>
      <c r="D32" s="122"/>
      <c r="E32" s="122"/>
      <c r="F32" s="123"/>
      <c r="G32" s="63">
        <v>36242.390666159998</v>
      </c>
      <c r="H32" s="14" t="s">
        <v>3</v>
      </c>
      <c r="I32" s="1"/>
    </row>
    <row r="33" spans="1:9" x14ac:dyDescent="0.25">
      <c r="A33" s="1"/>
      <c r="B33" s="121" t="s">
        <v>54</v>
      </c>
      <c r="C33" s="122"/>
      <c r="D33" s="122"/>
      <c r="E33" s="122"/>
      <c r="F33" s="123"/>
      <c r="G33" s="23">
        <f>(G31+G32)*'Fane 15. Nøgletal'!C33</f>
        <v>267743.57558683149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13162729.339927135</v>
      </c>
      <c r="H37" s="14" t="s">
        <v>3</v>
      </c>
      <c r="I37" s="1"/>
    </row>
    <row r="38" spans="1:9" x14ac:dyDescent="0.25">
      <c r="A38" s="1"/>
      <c r="B38" s="121" t="s">
        <v>242</v>
      </c>
      <c r="C38" s="122"/>
      <c r="D38" s="122"/>
      <c r="E38" s="122"/>
      <c r="F38" s="123"/>
      <c r="G38" s="63">
        <v>0</v>
      </c>
      <c r="H38" s="14" t="s">
        <v>3</v>
      </c>
      <c r="I38" s="1"/>
    </row>
    <row r="39" spans="1:9" x14ac:dyDescent="0.25">
      <c r="A39" s="1"/>
      <c r="B39" s="121" t="s">
        <v>128</v>
      </c>
      <c r="C39" s="122"/>
      <c r="D39" s="122"/>
      <c r="E39" s="122"/>
      <c r="F39" s="123"/>
      <c r="G39" s="23">
        <f>(G37+G38)*'Fane 15. Nøgletal'!C33</f>
        <v>263254.5867985427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12942043.019813918</v>
      </c>
      <c r="H43" s="14" t="s">
        <v>3</v>
      </c>
      <c r="I43" s="1"/>
    </row>
    <row r="44" spans="1:9" x14ac:dyDescent="0.25">
      <c r="A44" s="1"/>
      <c r="B44" s="127" t="s">
        <v>157</v>
      </c>
      <c r="C44" s="128"/>
      <c r="D44" s="128"/>
      <c r="E44" s="128"/>
      <c r="F44" s="129"/>
      <c r="G44" s="45">
        <v>666252.11545488006</v>
      </c>
      <c r="H44" s="14" t="s">
        <v>3</v>
      </c>
      <c r="I44" s="1"/>
    </row>
    <row r="45" spans="1:9" x14ac:dyDescent="0.25">
      <c r="A45" s="1"/>
      <c r="B45" s="121" t="s">
        <v>129</v>
      </c>
      <c r="C45" s="122"/>
      <c r="D45" s="122"/>
      <c r="E45" s="122"/>
      <c r="F45" s="123"/>
      <c r="G45" s="23">
        <f>SUM(G43:G44)*'Fane 15. Nøgletal'!C33</f>
        <v>272165.90270537598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14413688.474554548</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505962.07100096002</v>
      </c>
      <c r="H53" s="14" t="s">
        <v>3</v>
      </c>
      <c r="I53" s="1"/>
    </row>
    <row r="54" spans="1:9" x14ac:dyDescent="0.25">
      <c r="A54" s="1"/>
      <c r="B54" s="121" t="s">
        <v>210</v>
      </c>
      <c r="C54" s="122"/>
      <c r="D54" s="122"/>
      <c r="E54" s="122"/>
      <c r="F54" s="123"/>
      <c r="G54" s="23">
        <f>(G52)*'Fane 15. Nøgletal'!C33+(G53)*'Fane 15. Nøgletal'!C33</f>
        <v>298393.01091111015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9" t="s">
        <v>212</v>
      </c>
      <c r="C58" s="80"/>
      <c r="D58" s="80"/>
      <c r="E58" s="80"/>
      <c r="F58" s="81"/>
      <c r="G58" s="23">
        <f>(G52+G53-G54)*(1+'Fane 15. Nøgletal'!C16)</f>
        <v>15802655.143443665</v>
      </c>
      <c r="H58" s="14" t="s">
        <v>3</v>
      </c>
      <c r="I58" s="1"/>
    </row>
    <row r="59" spans="1:9" x14ac:dyDescent="0.25">
      <c r="A59" s="1"/>
      <c r="B59" s="79" t="s">
        <v>211</v>
      </c>
      <c r="C59" s="80"/>
      <c r="D59" s="80"/>
      <c r="E59" s="80"/>
      <c r="F59" s="81"/>
      <c r="G59" s="23">
        <f>(G58)*'Fane 15. Nøgletal'!C33</f>
        <v>316053.10286887328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9" t="s">
        <v>213</v>
      </c>
      <c r="C63" s="80"/>
      <c r="D63" s="80"/>
      <c r="E63" s="80"/>
      <c r="F63" s="81"/>
      <c r="G63" s="23">
        <f>(G58-G59)*(1+'Fane 15. Nøgletal'!C16)</f>
        <v>16737919.485453233</v>
      </c>
      <c r="H63" s="14" t="s">
        <v>3</v>
      </c>
      <c r="I63" s="1"/>
    </row>
    <row r="64" spans="1:9" x14ac:dyDescent="0.25">
      <c r="A64" s="1"/>
      <c r="B64" s="79" t="s">
        <v>214</v>
      </c>
      <c r="C64" s="80"/>
      <c r="D64" s="80"/>
      <c r="E64" s="80"/>
      <c r="F64" s="81"/>
      <c r="G64" s="23">
        <f>(G63)*'Fane 15. Nøgletal'!C33</f>
        <v>334758.38970906468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9" t="s">
        <v>213</v>
      </c>
      <c r="C68" s="80"/>
      <c r="D68" s="80"/>
      <c r="E68" s="80"/>
      <c r="F68" s="81"/>
      <c r="G68" s="23">
        <f>(G63-G64)*(1+'Fane 15. Nøgletal'!C16)</f>
        <v>17728536.512280297</v>
      </c>
      <c r="H68" s="14" t="s">
        <v>3</v>
      </c>
      <c r="I68" s="1"/>
    </row>
    <row r="69" spans="1:9" x14ac:dyDescent="0.25">
      <c r="A69" s="1"/>
      <c r="B69" s="79" t="s">
        <v>214</v>
      </c>
      <c r="C69" s="80"/>
      <c r="D69" s="80"/>
      <c r="E69" s="80"/>
      <c r="F69" s="81"/>
      <c r="G69" s="23">
        <f>(G68)*'Fane 15. Nøgletal'!C33</f>
        <v>354570.73024560593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C8h/we/aruIhvjxssJjN51Z9506+Qk+PzyACdr9gYOKRNeDWUSEYXdfxpTmQf3HTWH1kyIXn7odypRoksA9O5Q==" saltValue="Ffy+acRgOVFr3megMRTDI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63">
        <v>42866749</v>
      </c>
      <c r="H5" s="14" t="s">
        <v>3</v>
      </c>
      <c r="I5" s="1"/>
    </row>
    <row r="6" spans="1:9" x14ac:dyDescent="0.25">
      <c r="A6" s="1"/>
      <c r="B6" s="121" t="s">
        <v>51</v>
      </c>
      <c r="C6" s="122"/>
      <c r="D6" s="122"/>
      <c r="E6" s="122"/>
      <c r="F6" s="123"/>
      <c r="G6" s="23">
        <f>G5*'Fane 15. Nøgletal'!C21</f>
        <v>390087.41590000002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43220003.161821753</v>
      </c>
      <c r="H10" s="14" t="s">
        <v>3</v>
      </c>
      <c r="I10" s="1"/>
    </row>
    <row r="11" spans="1:9" x14ac:dyDescent="0.25">
      <c r="A11" s="1"/>
      <c r="B11" s="121" t="s">
        <v>104</v>
      </c>
      <c r="C11" s="122"/>
      <c r="D11" s="122"/>
      <c r="E11" s="122"/>
      <c r="F11" s="123"/>
      <c r="G11" s="63">
        <v>800830.21455622918</v>
      </c>
      <c r="H11" s="14" t="s">
        <v>3</v>
      </c>
      <c r="I11" s="1"/>
    </row>
    <row r="12" spans="1:9" x14ac:dyDescent="0.25">
      <c r="A12" s="1"/>
      <c r="B12" s="124" t="s">
        <v>247</v>
      </c>
      <c r="C12" s="125"/>
      <c r="D12" s="125"/>
      <c r="E12" s="125"/>
      <c r="F12" s="126"/>
      <c r="G12" s="66">
        <v>0</v>
      </c>
      <c r="H12" s="14" t="s">
        <v>3</v>
      </c>
      <c r="I12" s="1"/>
    </row>
    <row r="13" spans="1:9" x14ac:dyDescent="0.25">
      <c r="A13" s="1"/>
      <c r="B13" s="121" t="s">
        <v>58</v>
      </c>
      <c r="C13" s="122"/>
      <c r="D13" s="122"/>
      <c r="E13" s="122"/>
      <c r="F13" s="123"/>
      <c r="G13" s="23">
        <f>SUM(G10:G12)*'Fane 15. Nøgletal'!C22</f>
        <v>779168.75076189032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43998393.756564379</v>
      </c>
      <c r="H17" s="14" t="s">
        <v>3</v>
      </c>
      <c r="I17" s="1"/>
    </row>
    <row r="18" spans="1:9" x14ac:dyDescent="0.25">
      <c r="A18" s="1"/>
      <c r="B18" s="124" t="s">
        <v>248</v>
      </c>
      <c r="C18" s="125"/>
      <c r="D18" s="125"/>
      <c r="E18" s="125"/>
      <c r="F18" s="126"/>
      <c r="G18" s="63">
        <v>6847650.3628303083</v>
      </c>
      <c r="H18" s="14" t="s">
        <v>3</v>
      </c>
      <c r="I18" s="1"/>
    </row>
    <row r="19" spans="1:9" x14ac:dyDescent="0.25">
      <c r="A19" s="1"/>
      <c r="B19" s="121" t="s">
        <v>61</v>
      </c>
      <c r="C19" s="122"/>
      <c r="D19" s="122"/>
      <c r="E19" s="122"/>
      <c r="F19" s="123"/>
      <c r="G19" s="23">
        <f>G17*'Fane 15. Nøgletal'!C22+G18*'Fane 15. Nøgletal'!C23</f>
        <v>838346.12764781318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50992849.642184295</v>
      </c>
      <c r="H23" s="14" t="s">
        <v>3</v>
      </c>
      <c r="I23" s="1"/>
    </row>
    <row r="24" spans="1:9" x14ac:dyDescent="0.25">
      <c r="A24" s="1"/>
      <c r="B24" s="124" t="s">
        <v>249</v>
      </c>
      <c r="C24" s="125"/>
      <c r="D24" s="125"/>
      <c r="E24" s="125"/>
      <c r="F24" s="126"/>
      <c r="G24" s="63">
        <v>3635051.2769324956</v>
      </c>
      <c r="H24" s="14" t="s">
        <v>3</v>
      </c>
      <c r="I24" s="1"/>
    </row>
    <row r="25" spans="1:9" x14ac:dyDescent="0.25">
      <c r="A25" s="1"/>
      <c r="B25" s="121" t="s">
        <v>64</v>
      </c>
      <c r="C25" s="122"/>
      <c r="D25" s="122"/>
      <c r="E25" s="122"/>
      <c r="F25" s="123"/>
      <c r="G25" s="23">
        <f>(G23+G24)*'Fane 15. Nøgletal'!C24</f>
        <v>1551432.3861029169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54122074.963114247</v>
      </c>
      <c r="H29" s="14" t="s">
        <v>3</v>
      </c>
      <c r="I29" s="1"/>
    </row>
    <row r="30" spans="1:9" x14ac:dyDescent="0.25">
      <c r="A30" s="1"/>
      <c r="B30" s="121" t="s">
        <v>250</v>
      </c>
      <c r="C30" s="122"/>
      <c r="D30" s="122"/>
      <c r="E30" s="122"/>
      <c r="F30" s="123"/>
      <c r="G30" s="63">
        <v>2402668.46013516</v>
      </c>
      <c r="H30" s="14" t="s">
        <v>3</v>
      </c>
      <c r="I30" s="1"/>
    </row>
    <row r="31" spans="1:9" x14ac:dyDescent="0.25">
      <c r="A31" s="1"/>
      <c r="B31" s="121" t="s">
        <v>67</v>
      </c>
      <c r="C31" s="122"/>
      <c r="D31" s="122"/>
      <c r="E31" s="122"/>
      <c r="F31" s="123"/>
      <c r="G31" s="23">
        <f>G29*'Fane 15. Nøgletal'!C24+G30*'Fane 15. Nøgletal'!C25</f>
        <v>1603140.3116061618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55102844.401911676</v>
      </c>
      <c r="H35" s="14" t="s">
        <v>3</v>
      </c>
      <c r="I35" s="1"/>
    </row>
    <row r="36" spans="1:9" x14ac:dyDescent="0.25">
      <c r="A36" s="1"/>
      <c r="B36" s="121" t="s">
        <v>251</v>
      </c>
      <c r="C36" s="122"/>
      <c r="D36" s="122"/>
      <c r="E36" s="122"/>
      <c r="F36" s="123"/>
      <c r="G36" s="63">
        <v>1576519.7511477403</v>
      </c>
      <c r="H36" s="14" t="s">
        <v>3</v>
      </c>
      <c r="I36" s="1"/>
    </row>
    <row r="37" spans="1:9" x14ac:dyDescent="0.25">
      <c r="A37" s="1"/>
      <c r="B37" s="121" t="s">
        <v>131</v>
      </c>
      <c r="C37" s="122"/>
      <c r="D37" s="122"/>
      <c r="E37" s="122"/>
      <c r="F37" s="123"/>
      <c r="G37" s="23">
        <f>(G35+G36)*'Fane 15. Nøgletal'!C26</f>
        <v>838854.58946527936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56024783.245154001</v>
      </c>
      <c r="H41" s="14" t="s">
        <v>3</v>
      </c>
      <c r="I41" s="1"/>
    </row>
    <row r="42" spans="1:9" x14ac:dyDescent="0.25">
      <c r="A42" s="1"/>
      <c r="B42" s="40" t="s">
        <v>156</v>
      </c>
      <c r="C42" s="80"/>
      <c r="D42" s="80"/>
      <c r="E42" s="80"/>
      <c r="F42" s="81"/>
      <c r="G42" s="73">
        <v>0</v>
      </c>
      <c r="H42" s="14" t="s">
        <v>3</v>
      </c>
      <c r="I42" s="1"/>
    </row>
    <row r="43" spans="1:9" x14ac:dyDescent="0.25">
      <c r="A43" s="1"/>
      <c r="B43" s="121" t="s">
        <v>132</v>
      </c>
      <c r="C43" s="122"/>
      <c r="D43" s="122"/>
      <c r="E43" s="122"/>
      <c r="F43" s="123"/>
      <c r="G43" s="23">
        <f>(G41)*'Fane 15. Nøgletal'!C26+G42*'Fane 15. Nøgletal'!C27</f>
        <v>829166.79202827928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59655422.262538277</v>
      </c>
      <c r="H53" s="14" t="s">
        <v>3</v>
      </c>
      <c r="I53" s="1"/>
    </row>
    <row r="54" spans="1:9" x14ac:dyDescent="0.25">
      <c r="A54" s="1"/>
      <c r="B54" s="79" t="s">
        <v>195</v>
      </c>
      <c r="C54" s="80"/>
      <c r="D54" s="80"/>
      <c r="E54" s="80"/>
      <c r="F54" s="81"/>
      <c r="G54" s="73">
        <v>0</v>
      </c>
      <c r="H54" s="14" t="s">
        <v>3</v>
      </c>
      <c r="I54" s="1"/>
    </row>
    <row r="55" spans="1:9" x14ac:dyDescent="0.25">
      <c r="A55" s="1"/>
      <c r="B55" s="121" t="s">
        <v>218</v>
      </c>
      <c r="C55" s="122"/>
      <c r="D55" s="122"/>
      <c r="E55" s="122"/>
      <c r="F55" s="123"/>
      <c r="G55" s="7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64475580.381351367</v>
      </c>
      <c r="H59" s="14" t="s">
        <v>3</v>
      </c>
      <c r="I59" s="1"/>
    </row>
    <row r="60" spans="1:9" x14ac:dyDescent="0.25">
      <c r="A60" s="1"/>
      <c r="B60" s="121" t="s">
        <v>220</v>
      </c>
      <c r="C60" s="122"/>
      <c r="D60" s="122"/>
      <c r="E60" s="122"/>
      <c r="F60" s="123"/>
      <c r="G60" s="7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69685207.276164562</v>
      </c>
      <c r="H64" s="14" t="s">
        <v>3</v>
      </c>
      <c r="I64" s="1"/>
    </row>
    <row r="65" spans="1:9" x14ac:dyDescent="0.25">
      <c r="A65" s="1"/>
      <c r="B65" s="121" t="s">
        <v>222</v>
      </c>
      <c r="C65" s="122"/>
      <c r="D65" s="122"/>
      <c r="E65" s="122"/>
      <c r="F65" s="123"/>
      <c r="G65" s="7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75315772.024078652</v>
      </c>
      <c r="H69" s="14" t="s">
        <v>3</v>
      </c>
      <c r="I69" s="1"/>
    </row>
    <row r="70" spans="1:9" x14ac:dyDescent="0.25">
      <c r="A70" s="1"/>
      <c r="B70" s="121" t="s">
        <v>222</v>
      </c>
      <c r="C70" s="122"/>
      <c r="D70" s="122"/>
      <c r="E70" s="122"/>
      <c r="F70" s="123"/>
      <c r="G70" s="7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TmsejkrgodQO317lMIthYd2248iBMUPSvgp/c44z3iY/1NXLiYLEERUktvvneBPLJuJe3zmaz13iLX8MFE1Fg==" saltValue="kPE32I+VWknfgA10RvXon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4.6449627754199842E-3</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updgxjIM/NUsGh4qDY0yd0yPCMEYqYbBj9QzliCo7Gk+nabse1pdpk9MJWvVgDwaKuMrTd1mSQnc83uhoiYtSg==" saltValue="1VWqkQwZWmWavrnVI9qRm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2024-02-12T13:25:23Z</dcterms:modified>
</cp:coreProperties>
</file>