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Glostrup Vand AS (V06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12" i="37" l="1"/>
  <c r="E11" i="37"/>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<sst xmlns="http://schemas.openxmlformats.org/spreadsheetml/2006/main" count="514" uniqueCount="256">
  <si>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</si>
  <si>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</si>
  <si>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</si>
  <si>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</si>
  <si>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</si>
  <si>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</si>
  <si>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</si>
  <si>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</si>
  <si>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</si>
  <si>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</si>
  <si>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</si>
  <si>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</si>
  <si>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</si>
  <si>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</si>
  <si>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</si>
  <si>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</si>
  <si>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</si>
  <si>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</si>
  <si>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</si>
  <si>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</si>
  <si>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</si>
  <si>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</si>
  <si>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</si>
  <si>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</si>
  <si>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</si>
  <si>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</si>
  <si>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</si>
  <si>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</si>
  <si>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</si>
  <si>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</si>
  <si>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</si>
  <si>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</si>
  <si>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</si>
  <si>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</si>
  <si>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</si>
  <si>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</si>
  <si>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</si>
  <si>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</si>
  <si>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</si>
  <si>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</si>
  <si>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</si>
  <si>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</si>
  <si>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</si>
  <si>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</si>
  <si>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</si>
  <si>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</si>
  <si>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</si>
  <si>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</si>
  <si>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</si>
  <si>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</si>
  <si>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</si>
  <si>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</si>
  <si>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</si>
  <si>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</si>
  <si>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</si>
  <si>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</si>
  <si>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</si>
  <si>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</si>
  <si>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</si>
  <si>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</si>
  <si>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</si>
  <si>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</si>
  <si>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</si>
  <si>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</si>
  <si>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</si>
  <si>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</si>
  <si>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</si>
  <si>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</si>
  <si>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</si>
  <si>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</si>
  <si>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</si>
  <si>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</si>
  <si>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</si>
  <si>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</si>
  <si>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</si>
  <si>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</si>
  <si>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</si>
  <si>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</si>
  <si>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</si>
  <si>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</si>
  <si>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</si>
  <si>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</si>
  <si>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</si>
  <si>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</si>
  <si>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</si>
  <si>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</si>
  <si>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</si>
  <si>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</si>
  <si>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</si>
  <si>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</si>
  <si>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</si>
  <si>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</si>
  <si>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</si>
  <si>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</si>
  <si>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</si>
  <si>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</si>
  <si>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</si>
  <si>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</si>
  <si>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</si>
  <si>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</si>
  <si>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</si>
  <si>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</si>
  <si>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</si>
  <si>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</si>
  <si>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</si>
  <si>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</si>
  <si>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</si>
  <si>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</si>
  <si>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</si>
  <si>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</si>
  <si>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</si>
  <si>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</si>
  <si>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</si>
  <si>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</si>
  <si>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</si>
  <si>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</si>
  <si>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</si>
  <si>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</si>
  <si>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</si>
  <si>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</si>
  <si>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</si>
  <si>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</si>
  <si>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</si>
  <si>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</si>
  <si>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</si>
  <si>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</si>
  <si>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</si>
  <si>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</si>
  <si>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</si>
  <si>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</si>
  <si>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</si>
  <si>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</si>
  <si>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</si>
  <si>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</si>
  <si>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</si>
  <si>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</si>
  <si>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</si>
  <si>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</si>
  <si>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</si>
  <si>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</si>
  <si>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</si>
  <si>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</si>
  <si>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</si>
  <si>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</si>
  <si>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</si>
  <si>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</si>
  <si>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</si>
  <si>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</si>
  <si>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</si>
  <si>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</si>
  <si>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</si>
  <si>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</si>
  <si>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</si>
  <si>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</si>
  <si>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</si>
  <si>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</si>
  <si>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</si>
  <si>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</si>
  <si>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</si>
  <si>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</si>
  <si>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</si>
  <si>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</si>
  <si>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</si>
  <si>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</si>
  <si>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</si>
  <si>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</si>
  <si>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</si>
  <si>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</si>
  <si>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</si>
  <si>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</si>
  <si>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</si>
  <si>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</si>
  <si>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</si>
  <si>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</si>
  <si>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</si>
  <si>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</si>
  <si>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</si>
  <si>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</si>
  <si>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</si>
  <si>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</si>
  <si>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</si>
  <si>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</si>
  <si>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</si>
  <si>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</si>
  <si>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</si>
  <si>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</si>
  <si>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</si>
  <si>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</si>
  <si>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</si>
  <si>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</si>
  <si>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</si>
  <si>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</si>
  <si>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</si>
  <si>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</si>
  <si>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</si>
  <si>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</si>
  <si>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</si>
  <si>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</si>
  <si>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</si>
  <si>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</si>
  <si>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</si>
  <si>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</si>
  <si>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</si>
  <si>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</si>
  <si>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</si>
  <si>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</si>
  <si>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</si>
  <si>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</si>
  <si>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</si>
  <si>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</si>
  <si>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</si>
  <si>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</si>
  <si>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</si>
  <si>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</si>
  <si>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</si>
  <si>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</si>
  <si>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</si>
  <si>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</si>
  <si>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</si>
  <si>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</si>
  <si>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</si>
  <si>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</si>
  <si>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</si>
  <si>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</si>
  <si>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</si>
  <si>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</si>
  <si>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</si>
  <si>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</si>
  <si>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</si>
  <si>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</si>
  <si>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</si>
  <si>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</si>
  <si>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</si>
  <si>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</si>
  <si>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</si>
  <si>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</si>
  <si>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</si>
  <si>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</si>
  <si>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</si>
  <si>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</si>
  <si>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</si>
  <si>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</si>
  <si>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</si>
  <si>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</si>
  <si>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</si>
  <si>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</si>
  <si>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</si>
  <si>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</si>
  <si>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</si>
  <si>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</si>
  <si>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</si>
  <si>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Ledningsomlægning</t>
  </si>
  <si>
    <t>Byggemodninger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</si>
  <si>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</si>
  <si>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Ingen engangstillæg</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</si>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</sst>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5" t="s">
        <v>161</v>
      </c>
      <c r="E13" s="96"/>
      <c r="F13" s="96"/>
      <c r="G13" s="97"/>
      <c r="H13" s="1"/>
      <c r="I13" s="1"/>
    </row>
    <row r="14" spans="1:9" x14ac:dyDescent="0.25">
      <c r="A14" s="1"/>
      <c r="B14" s="1"/>
      <c r="C14" s="6" t="s">
        <v>14</v>
      </c>
      <c r="D14" s="95" t="s">
        <v>204</v>
      </c>
      <c r="E14" s="96"/>
      <c r="F14" s="96"/>
      <c r="G14" s="97"/>
      <c r="H14" s="1"/>
      <c r="I14" s="1"/>
    </row>
    <row r="15" spans="1:9" x14ac:dyDescent="0.25">
      <c r="A15" s="1"/>
      <c r="B15" s="1"/>
      <c r="C15" s="6" t="s">
        <v>32</v>
      </c>
      <c r="D15" s="95" t="s">
        <v>137</v>
      </c>
      <c r="E15" s="96"/>
      <c r="F15" s="96"/>
      <c r="G15" s="97"/>
      <c r="H15" s="1"/>
      <c r="I15" s="1"/>
    </row>
    <row r="16" spans="1:9" x14ac:dyDescent="0.25">
      <c r="A16" s="1"/>
      <c r="B16" s="1"/>
      <c r="C16" s="6" t="s">
        <v>33</v>
      </c>
      <c r="D16" s="95" t="s">
        <v>162</v>
      </c>
      <c r="E16" s="96"/>
      <c r="F16" s="96"/>
      <c r="G16" s="97"/>
      <c r="H16" s="1"/>
      <c r="I16" s="1"/>
    </row>
    <row r="17" spans="1:9" x14ac:dyDescent="0.25">
      <c r="A17" s="1"/>
      <c r="B17" s="1"/>
      <c r="C17" s="6" t="s">
        <v>110</v>
      </c>
      <c r="D17" s="95" t="s">
        <v>163</v>
      </c>
      <c r="E17" s="96"/>
      <c r="F17" s="96"/>
      <c r="G17" s="97"/>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92" t="s">
        <v>11</v>
      </c>
      <c r="E21" s="93"/>
      <c r="F21" s="93"/>
      <c r="G21" s="94"/>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89" t="s">
        <v>92</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55"/>
      <c r="B50" s="55"/>
      <c r="C50" s="55"/>
      <c r="D50" s="55"/>
      <c r="E50" s="55"/>
      <c r="F50" s="55"/>
      <c r="G50" s="55"/>
      <c r="H50" s="55"/>
      <c r="I50" s="55"/>
    </row>
    <row r="51" spans="1:9" x14ac:dyDescent="0.25">
      <c r="A51" s="55"/>
      <c r="B51" s="55"/>
      <c r="C51" s="55"/>
      <c r="D51" s="55"/>
      <c r="E51" s="55"/>
      <c r="F51" s="55"/>
      <c r="G51" s="55"/>
      <c r="H51" s="55"/>
      <c r="I51" s="55"/>
    </row>
  </sheetData>
  <sheetProtection algorithmName="SHA-512" hashValue="6SQDW3etq517/aEfSNVzrqrj+GMSNCUocH1Vs0SO3/SBm+f+QAEaUvs8Kjte3YG3z8XljxFFfLebsNXToqlJQg==" saltValue="0M/5MGhEsOlyaXDJGCj74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4" t="s">
        <v>100</v>
      </c>
      <c r="C3" s="104"/>
      <c r="D3" s="104"/>
      <c r="E3" s="1"/>
      <c r="F3" s="1"/>
    </row>
    <row r="4" spans="1:6" ht="15" customHeight="1" x14ac:dyDescent="0.25">
      <c r="A4" s="1"/>
      <c r="B4" s="104"/>
      <c r="C4" s="104"/>
      <c r="D4" s="10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79" t="s">
        <v>231</v>
      </c>
      <c r="C10" s="9">
        <v>8311703</v>
      </c>
      <c r="D10" s="14" t="s">
        <v>3</v>
      </c>
      <c r="E10" s="1"/>
      <c r="F10" s="1"/>
    </row>
    <row r="11" spans="1:6" x14ac:dyDescent="0.25">
      <c r="A11" s="1"/>
      <c r="B11" s="79" t="s">
        <v>232</v>
      </c>
      <c r="C11" s="9">
        <v>85637</v>
      </c>
      <c r="D11" s="14" t="s">
        <v>3</v>
      </c>
      <c r="E11" s="1"/>
      <c r="F11" s="1"/>
    </row>
    <row r="12" spans="1:6" x14ac:dyDescent="0.25">
      <c r="A12" s="1"/>
      <c r="B12" s="79" t="s">
        <v>233</v>
      </c>
      <c r="C12" s="9">
        <v>568735</v>
      </c>
      <c r="D12" s="14" t="s">
        <v>3</v>
      </c>
      <c r="E12" s="1"/>
      <c r="F12" s="1"/>
    </row>
    <row r="13" spans="1:6" x14ac:dyDescent="0.25">
      <c r="A13" s="1"/>
      <c r="B13" s="79" t="s">
        <v>234</v>
      </c>
      <c r="C13" s="9">
        <v>181053</v>
      </c>
      <c r="D13" s="14" t="s">
        <v>3</v>
      </c>
      <c r="E13" s="1"/>
      <c r="F13" s="1"/>
    </row>
    <row r="14" spans="1:6" x14ac:dyDescent="0.25">
      <c r="A14" s="1"/>
      <c r="B14" s="79" t="s">
        <v>235</v>
      </c>
      <c r="C14" s="9">
        <v>322736</v>
      </c>
      <c r="D14" s="14" t="s">
        <v>3</v>
      </c>
      <c r="E14" s="1"/>
      <c r="F14" s="1"/>
    </row>
    <row r="15" spans="1:6" x14ac:dyDescent="0.25">
      <c r="A15" s="1"/>
      <c r="B15" s="67" t="s">
        <v>182</v>
      </c>
      <c r="C15" s="12">
        <f>SUM(C10:C14)</f>
        <v>9469864</v>
      </c>
      <c r="D15" s="13" t="s">
        <v>3</v>
      </c>
      <c r="E15" s="1"/>
      <c r="F15" s="1"/>
    </row>
    <row r="16" spans="1:6" x14ac:dyDescent="0.25">
      <c r="A16" s="1"/>
      <c r="B16" s="67" t="s">
        <v>183</v>
      </c>
      <c r="C16" s="12">
        <f>C15*(1+'Fane 13. Nøgletal'!C15)^2</f>
        <v>10156120.043639041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sheetData>
  <sheetProtection algorithmName="SHA-512" hashValue="TOiRtr1OTcwCwR7yTrds1hZxl5RMZC7oaYRM2ainmp0N1gPT1xI8YBWWVXxfe+U0c+haduDR79DRoETlgPbJ/w==" saltValue="k0+mutrWY1Xs7gvcGcaX+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184</v>
      </c>
      <c r="C3" s="112"/>
      <c r="D3" s="112"/>
      <c r="E3" s="112"/>
      <c r="F3" s="112"/>
      <c r="G3" s="1"/>
    </row>
    <row r="4" spans="1:7" ht="15" customHeight="1" x14ac:dyDescent="0.25">
      <c r="A4" s="1"/>
      <c r="B4" s="112"/>
      <c r="C4" s="112"/>
      <c r="D4" s="112"/>
      <c r="E4" s="112"/>
      <c r="F4" s="112"/>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0" t="s">
        <v>156</v>
      </c>
      <c r="C9" s="131"/>
      <c r="D9" s="132"/>
      <c r="E9" s="9">
        <v>-575052</v>
      </c>
      <c r="F9" s="14" t="s">
        <v>3</v>
      </c>
      <c r="G9" s="1"/>
    </row>
    <row r="10" spans="1:7" x14ac:dyDescent="0.25">
      <c r="A10" s="1"/>
      <c r="B10" s="145" t="s">
        <v>236</v>
      </c>
      <c r="C10" s="146"/>
      <c r="D10" s="147"/>
      <c r="E10" s="9">
        <v>-575052</v>
      </c>
      <c r="F10" s="54" t="s">
        <v>3</v>
      </c>
      <c r="G10" s="1"/>
    </row>
    <row r="11" spans="1:7" x14ac:dyDescent="0.25">
      <c r="A11" s="1"/>
      <c r="B11" s="130" t="s">
        <v>185</v>
      </c>
      <c r="C11" s="131"/>
      <c r="D11" s="132"/>
      <c r="E11" s="9">
        <v>-472336.08424399793</v>
      </c>
      <c r="F11" s="14" t="s">
        <v>3</v>
      </c>
      <c r="G11" s="1"/>
    </row>
    <row r="12" spans="1:7" x14ac:dyDescent="0.25">
      <c r="A12" s="1"/>
      <c r="B12" s="67"/>
      <c r="C12" s="68"/>
      <c r="D12" s="68"/>
      <c r="E12" s="68"/>
      <c r="F12" s="19"/>
      <c r="G12" s="1"/>
    </row>
    <row r="13" spans="1:7" ht="64.900000000000006" customHeight="1" x14ac:dyDescent="0.25">
      <c r="A13" s="1"/>
      <c r="B13" s="116" t="s">
        <v>253</v>
      </c>
      <c r="C13" s="117"/>
      <c r="D13" s="117"/>
      <c r="E13" s="117"/>
      <c r="F13" s="118"/>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0" t="s">
        <v>237</v>
      </c>
      <c r="C16" s="131"/>
      <c r="D16" s="132"/>
      <c r="E16" s="9">
        <f>-118084.021060999*2</f>
        <v>-236168.04212199801</v>
      </c>
      <c r="F16" s="14" t="s">
        <v>3</v>
      </c>
      <c r="G16" s="1"/>
    </row>
    <row r="17" spans="1:7" x14ac:dyDescent="0.25">
      <c r="A17" s="1"/>
      <c r="B17" s="130" t="s">
        <v>238</v>
      </c>
      <c r="C17" s="131"/>
      <c r="D17" s="132"/>
      <c r="E17" s="9">
        <f>-118084.021060999*2</f>
        <v>-236168.04212199801</v>
      </c>
      <c r="F17" s="14" t="s">
        <v>3</v>
      </c>
      <c r="G17" s="1"/>
    </row>
    <row r="18" spans="1:7" x14ac:dyDescent="0.25">
      <c r="A18" s="1"/>
      <c r="B18" s="67"/>
      <c r="C18" s="68"/>
      <c r="D18" s="68"/>
      <c r="E18" s="68"/>
      <c r="F18" s="19"/>
      <c r="G18" s="1"/>
    </row>
    <row r="19" spans="1:7" ht="31.5" customHeight="1" x14ac:dyDescent="0.25">
      <c r="A19" s="1"/>
      <c r="B19" s="116" t="s">
        <v>158</v>
      </c>
      <c r="C19" s="117"/>
      <c r="D19" s="117"/>
      <c r="E19" s="117"/>
      <c r="F19" s="118"/>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239</v>
      </c>
      <c r="C22" s="77"/>
      <c r="D22" s="78"/>
      <c r="E22" s="9">
        <v>23155153.344950072</v>
      </c>
      <c r="F22" s="14" t="s">
        <v>3</v>
      </c>
      <c r="G22" s="1"/>
    </row>
    <row r="23" spans="1:7" x14ac:dyDescent="0.25">
      <c r="A23" s="1"/>
      <c r="B23" s="76" t="s">
        <v>187</v>
      </c>
      <c r="C23" s="77"/>
      <c r="D23" s="78"/>
      <c r="E23" s="9">
        <v>24981305</v>
      </c>
      <c r="F23" s="14" t="s">
        <v>3</v>
      </c>
      <c r="G23" s="1"/>
    </row>
    <row r="24" spans="1:7" x14ac:dyDescent="0.25">
      <c r="A24" s="1"/>
      <c r="B24" s="76" t="s">
        <v>31</v>
      </c>
      <c r="C24" s="77"/>
      <c r="D24" s="78"/>
      <c r="E24" s="9">
        <v>0</v>
      </c>
      <c r="F24" s="14" t="s">
        <v>3</v>
      </c>
      <c r="G24" s="1"/>
    </row>
    <row r="25" spans="1:7" x14ac:dyDescent="0.25">
      <c r="A25" s="1"/>
      <c r="B25" s="51" t="s">
        <v>255</v>
      </c>
      <c r="C25" s="52"/>
      <c r="D25" s="53"/>
      <c r="E25" s="57">
        <f>E22-(E23-E24)</f>
        <v>-1826151.6550499275</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7" t="s">
        <v>240</v>
      </c>
      <c r="C28" s="128"/>
      <c r="D28" s="128"/>
      <c r="E28" s="128"/>
      <c r="F28" s="129"/>
      <c r="G28" s="1"/>
    </row>
    <row r="29" spans="1:7" x14ac:dyDescent="0.25">
      <c r="A29" s="1"/>
      <c r="B29" s="148" t="s">
        <v>128</v>
      </c>
      <c r="C29" s="149"/>
      <c r="D29" s="150"/>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-2298487.7392939236</v>
      </c>
      <c r="F29" s="14" t="s">
        <v>3</v>
      </c>
      <c r="G29" s="1"/>
    </row>
    <row r="30" spans="1:7" x14ac:dyDescent="0.25">
      <c r="A30" s="1"/>
      <c r="B30" s="148" t="s">
        <v>93</v>
      </c>
      <c r="C30" s="149"/>
      <c r="D30" s="150"/>
      <c r="E30" s="9">
        <v>2</v>
      </c>
      <c r="F30" s="14" t="s">
        <v>18</v>
      </c>
      <c r="G30" s="1"/>
    </row>
    <row r="31" spans="1:7" x14ac:dyDescent="0.25">
      <c r="A31" s="1"/>
      <c r="B31" s="141" t="s">
        <v>127</v>
      </c>
      <c r="C31" s="141"/>
      <c r="D31" s="141"/>
      <c r="E31" s="10">
        <f>E29/E30</f>
        <v>-1149243.8696469618</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84xYqSI0s4WHDuE7WoUtobV0CHi3eVuHaksieeZPnE8iQbCrn3oejR+8atAlq1+7HXoZiOdHYzGq1VRR/+1/1g==" saltValue="peCvwYfnDhS6J/RD3eADt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4" t="s">
        <v>226</v>
      </c>
      <c r="C3" s="104"/>
      <c r="D3" s="104"/>
      <c r="E3" s="104"/>
      <c r="F3" s="104"/>
      <c r="G3" s="104"/>
      <c r="H3" s="104"/>
      <c r="I3" s="1"/>
    </row>
    <row r="4" spans="1:9" ht="15" customHeight="1" x14ac:dyDescent="0.25">
      <c r="A4" s="1"/>
      <c r="B4" s="104"/>
      <c r="C4" s="104"/>
      <c r="D4" s="104"/>
      <c r="E4" s="104"/>
      <c r="F4" s="104"/>
      <c r="G4" s="104"/>
      <c r="H4" s="10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22" t="s">
        <v>228</v>
      </c>
      <c r="C9" s="123"/>
      <c r="D9" s="123"/>
      <c r="E9" s="123"/>
      <c r="F9" s="123"/>
      <c r="G9" s="123"/>
      <c r="H9" s="124"/>
      <c r="I9" s="1"/>
    </row>
    <row r="10" spans="1:9" x14ac:dyDescent="0.25">
      <c r="A10" s="1"/>
      <c r="B10" s="151" t="s">
        <v>243</v>
      </c>
      <c r="C10" s="152"/>
      <c r="D10" s="152"/>
      <c r="E10" s="152"/>
      <c r="F10" s="153"/>
      <c r="G10" s="56">
        <v>0</v>
      </c>
      <c r="H10" s="9" t="s">
        <v>3</v>
      </c>
      <c r="I10" s="1"/>
    </row>
    <row r="11" spans="1:9" x14ac:dyDescent="0.25">
      <c r="A11" s="1"/>
      <c r="B11" s="151" t="s">
        <v>244</v>
      </c>
      <c r="C11" s="152"/>
      <c r="D11" s="152"/>
      <c r="E11" s="152"/>
      <c r="F11" s="153"/>
      <c r="G11" s="56">
        <v>0</v>
      </c>
      <c r="H11" s="9" t="s">
        <v>3</v>
      </c>
      <c r="I11" s="1"/>
    </row>
    <row r="12" spans="1:9" x14ac:dyDescent="0.25">
      <c r="A12" s="1"/>
      <c r="B12" s="151" t="s">
        <v>245</v>
      </c>
      <c r="C12" s="152"/>
      <c r="D12" s="152"/>
      <c r="E12" s="152"/>
      <c r="F12" s="153"/>
      <c r="G12" s="9">
        <v>0</v>
      </c>
      <c r="H12" s="9" t="s">
        <v>3</v>
      </c>
      <c r="I12" s="1"/>
    </row>
    <row r="13" spans="1:9" x14ac:dyDescent="0.25">
      <c r="A13" s="1"/>
      <c r="B13" s="151" t="s">
        <v>246</v>
      </c>
      <c r="C13" s="152"/>
      <c r="D13" s="152"/>
      <c r="E13" s="152"/>
      <c r="F13" s="153"/>
      <c r="G13" s="9">
        <v>0</v>
      </c>
      <c r="H13" s="9" t="s">
        <v>3</v>
      </c>
      <c r="I13" s="1"/>
    </row>
    <row r="14" spans="1:9" x14ac:dyDescent="0.25">
      <c r="A14" s="1"/>
      <c r="B14" s="151" t="s">
        <v>247</v>
      </c>
      <c r="C14" s="152"/>
      <c r="D14" s="152"/>
      <c r="E14" s="152"/>
      <c r="F14" s="153"/>
      <c r="G14" s="9">
        <v>0</v>
      </c>
      <c r="H14" s="9" t="s">
        <v>3</v>
      </c>
      <c r="I14" s="1"/>
    </row>
    <row r="15" spans="1:9" x14ac:dyDescent="0.25">
      <c r="A15" s="1"/>
      <c r="B15" s="151" t="s">
        <v>248</v>
      </c>
      <c r="C15" s="152"/>
      <c r="D15" s="152"/>
      <c r="E15" s="152"/>
      <c r="F15" s="153"/>
      <c r="G15" s="9">
        <v>0</v>
      </c>
      <c r="H15" s="9" t="s">
        <v>3</v>
      </c>
      <c r="I15" s="1"/>
    </row>
    <row r="16" spans="1:9" x14ac:dyDescent="0.25">
      <c r="A16" s="1"/>
      <c r="B16" s="151" t="s">
        <v>249</v>
      </c>
      <c r="C16" s="152"/>
      <c r="D16" s="152"/>
      <c r="E16" s="152"/>
      <c r="F16" s="153"/>
      <c r="G16" s="9">
        <v>0</v>
      </c>
      <c r="H16" s="9" t="s">
        <v>3</v>
      </c>
      <c r="I16" s="1"/>
    </row>
    <row r="17" spans="1:9" x14ac:dyDescent="0.25">
      <c r="A17" s="1"/>
      <c r="B17" s="151" t="s">
        <v>250</v>
      </c>
      <c r="C17" s="152"/>
      <c r="D17" s="152"/>
      <c r="E17" s="152"/>
      <c r="F17" s="153"/>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SVgAQ/2BJL7yAru4FPVGozMBGx/Blo3rdQmntLskOINRlEN/Gv5IRFso1Bkuzkwu0J+Ev6od6NjA6XN+XDjXYA==" saltValue="EI5hpr7hLKcKAWTwtK5Xw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8.7109375" style="2" customWidth="1"/>
    <col min="5" max="5" width="3.42578125" style="2" customWidth="1"/>
    <col min="6" max="6" width="10" style="2" customWidth="1"/>
    <col min="7" max="7" width="3.42578125" style="2" customWidth="1"/>
    <col min="8" max="8" width="10" style="2" customWidth="1"/>
    <col min="9" max="9" width="3.42578125" style="2" customWidth="1"/>
    <col min="10" max="10" width="8.7109375" style="2" customWidth="1"/>
    <col min="11" max="11" width="3.42578125"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220</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4" t="s">
        <v>213</v>
      </c>
      <c r="E9" s="155"/>
      <c r="F9" s="154" t="s">
        <v>2</v>
      </c>
      <c r="G9" s="155"/>
      <c r="H9" s="154" t="s">
        <v>214</v>
      </c>
      <c r="I9" s="155"/>
      <c r="J9" s="154" t="s">
        <v>28</v>
      </c>
      <c r="K9" s="155"/>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L49" s="55"/>
    </row>
    <row r="50" spans="1:12" x14ac:dyDescent="0.25">
      <c r="A50" s="55"/>
      <c r="L50" s="55"/>
    </row>
    <row r="51" spans="1:12" x14ac:dyDescent="0.25">
      <c r="A51" s="55"/>
      <c r="L51" s="55"/>
    </row>
    <row r="52" spans="1:12" x14ac:dyDescent="0.25">
      <c r="A52" s="55"/>
      <c r="L52" s="55"/>
    </row>
  </sheetData>
  <sheetProtection algorithmName="SHA-512" hashValue="4cK9rXfF6Y3FrwxbIho8H4P3U6k64ZYYgUSg9kWeuuonRh3jXvDnQagu7n3amIIseH+3QbKU+jUTZE4kqsmGpA==" saltValue="rOn6mIHmGH0Zlhrfs+eiN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5"/>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221</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251</v>
      </c>
      <c r="C11" s="21">
        <v>0</v>
      </c>
      <c r="D11" s="14" t="s">
        <v>3</v>
      </c>
      <c r="E11" s="9">
        <f>283474+281413</f>
        <v>564887</v>
      </c>
      <c r="F11" s="14" t="s">
        <v>3</v>
      </c>
      <c r="G11" s="1"/>
    </row>
    <row r="12" spans="1:7" x14ac:dyDescent="0.25">
      <c r="A12" s="1"/>
      <c r="B12" s="26" t="s">
        <v>252</v>
      </c>
      <c r="C12" s="21">
        <v>404</v>
      </c>
      <c r="D12" s="14" t="s">
        <v>3</v>
      </c>
      <c r="E12" s="9">
        <f>2644+2572</f>
        <v>5216</v>
      </c>
      <c r="F12" s="14" t="s">
        <v>3</v>
      </c>
      <c r="G12" s="1"/>
    </row>
    <row r="13" spans="1:7" x14ac:dyDescent="0.25">
      <c r="A13" s="1"/>
      <c r="B13" s="67" t="s">
        <v>148</v>
      </c>
      <c r="C13" s="12">
        <f>SUM(C10:C12)</f>
        <v>404</v>
      </c>
      <c r="D13" s="13" t="s">
        <v>3</v>
      </c>
      <c r="E13" s="12">
        <f>SUM(E10:E12)</f>
        <v>570103</v>
      </c>
      <c r="F13" s="13" t="s">
        <v>3</v>
      </c>
      <c r="G13" s="1"/>
    </row>
    <row r="14" spans="1:7" x14ac:dyDescent="0.25">
      <c r="A14" s="1"/>
      <c r="B14" s="67" t="s">
        <v>188</v>
      </c>
      <c r="C14" s="12">
        <f>C13*(1+'Fane 13. Nøgletal'!C15)</f>
        <v>418.38240000000002</v>
      </c>
      <c r="D14" s="13" t="s">
        <v>3</v>
      </c>
      <c r="E14" s="12">
        <f>E13*(1+'Fane 13. Nøgletal'!C15)</f>
        <v>590398.66680000001</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55"/>
      <c r="G51" s="55"/>
    </row>
    <row r="52" spans="1:7" x14ac:dyDescent="0.25">
      <c r="A52" s="55"/>
      <c r="G52" s="55"/>
    </row>
    <row r="53" spans="1:7" x14ac:dyDescent="0.25">
      <c r="A53" s="55"/>
      <c r="G53" s="55"/>
    </row>
    <row r="54" spans="1:7" x14ac:dyDescent="0.25">
      <c r="A54" s="55"/>
      <c r="G54" s="55"/>
    </row>
    <row r="55" spans="1:7" x14ac:dyDescent="0.25">
      <c r="A55" s="55"/>
    </row>
  </sheetData>
  <sheetProtection algorithmName="SHA-512" hashValue="8aKH68klPBK+55+r9FgYmTGbZM0fIsg3hiBpMWHOKyYB/ZYhox2wbBzZLLWdWN6xIiWV0FXdYmS4Ct3wDu202A==" saltValue="lT5n3eSt+PGFJLg3GBaga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5" t="s">
        <v>15</v>
      </c>
      <c r="C10" s="65" t="s">
        <v>10</v>
      </c>
      <c r="D10" s="66"/>
      <c r="E10" s="65" t="s">
        <v>29</v>
      </c>
      <c r="F10" s="70"/>
      <c r="G10" s="1"/>
    </row>
    <row r="11" spans="1:7" x14ac:dyDescent="0.25">
      <c r="A11" s="1"/>
      <c r="B11" s="22" t="s">
        <v>254</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IwZYJIi0XDediPZ/RYrI1qmG5GFmqnVvP6Y7A7PwIb+zEs9RDR11IW7lb5GF4UHRghZ6r1/fgWoEn+PFGsYW9w==" saltValue="jY6fP5HX37gwaBIF0ksEZ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223</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9" t="s">
        <v>113</v>
      </c>
      <c r="C9" s="122" t="s">
        <v>10</v>
      </c>
      <c r="D9" s="124"/>
      <c r="E9" s="122" t="s">
        <v>29</v>
      </c>
      <c r="F9" s="124"/>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xjFU/fthBLkoW8glF2JriSYcNZ/kANgI6WQQ+9Wu3zwGe8Rkdnt317CYQ1TNHzuuv0YY2kLNGIatmcpjKs2uDA==" saltValue="D3fprFSeAAn0VwvzdbqpP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224</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customHeight="1" x14ac:dyDescent="0.25">
      <c r="A11" s="1"/>
      <c r="B11" s="69" t="s">
        <v>16</v>
      </c>
      <c r="C11" s="69" t="s">
        <v>10</v>
      </c>
      <c r="D11" s="70"/>
      <c r="E11" s="122" t="s">
        <v>29</v>
      </c>
      <c r="F11" s="124"/>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T4/oEVWf2DvI+pvYENj7Ic5yWNybFr7+OVAu/qGct+qbGciBmIGPWopyp8ncGQywLmCD0261hglSziQS+Ipwg==" saltValue="5skmUIMr4uk6ZgwoLmlLrg=="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2" t="s">
        <v>225</v>
      </c>
      <c r="C3" s="112"/>
      <c r="D3" s="1"/>
    </row>
    <row r="4" spans="1:4" ht="25.5" customHeight="1" x14ac:dyDescent="0.25">
      <c r="A4" s="1"/>
      <c r="B4" s="112"/>
      <c r="C4" s="11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5"/>
      <c r="D50" s="55"/>
    </row>
    <row r="51" spans="1:4" x14ac:dyDescent="0.25">
      <c r="A51" s="55"/>
      <c r="B51" s="55"/>
      <c r="C51" s="85"/>
      <c r="D51" s="55"/>
    </row>
    <row r="52" spans="1:4" x14ac:dyDescent="0.25">
      <c r="A52" s="55"/>
      <c r="B52" s="55"/>
      <c r="C52" s="85"/>
      <c r="D52" s="55"/>
    </row>
    <row r="53" spans="1:4" x14ac:dyDescent="0.25">
      <c r="A53" s="55"/>
      <c r="B53" s="55"/>
      <c r="C53" s="85"/>
      <c r="D53" s="55"/>
    </row>
  </sheetData>
  <sheetProtection algorithmName="SHA-512" hashValue="W5Bhr4PJ4CPaD5qj0tGrNPt6G5LFGD/hSVGAlAHhW54i/UPlWppjJ8EHbcGgtikdGYeCoExcQwl3dl4+vdGXRw==" saltValue="HGeFJSksga03QC/gwwZ9NA=="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13055277.986021126</v>
      </c>
      <c r="D8" s="8" t="s">
        <v>3</v>
      </c>
      <c r="E8" s="1"/>
    </row>
    <row r="9" spans="1:5" ht="17.25" customHeight="1" x14ac:dyDescent="0.25">
      <c r="A9" s="1"/>
      <c r="B9" s="23" t="s">
        <v>35</v>
      </c>
      <c r="C9" s="7">
        <f>'Fane 10.1. Varige tillæg'!C14</f>
        <v>418.38240000000002</v>
      </c>
      <c r="D9" s="8" t="s">
        <v>3</v>
      </c>
      <c r="E9" s="1"/>
    </row>
    <row r="10" spans="1:5" ht="17.25" customHeight="1" x14ac:dyDescent="0.25">
      <c r="A10" s="1"/>
      <c r="B10" s="23" t="s">
        <v>36</v>
      </c>
      <c r="C10" s="9">
        <f>'Fane 10.1. Varige tillæg'!E14</f>
        <v>590398.66680000001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485800.98325387208</v>
      </c>
      <c r="D15" s="8" t="s">
        <v>3</v>
      </c>
      <c r="E15" s="1"/>
    </row>
    <row r="16" spans="1:5" ht="17.25" customHeight="1" x14ac:dyDescent="0.25">
      <c r="A16" s="1"/>
      <c r="B16" s="23" t="s">
        <v>9</v>
      </c>
      <c r="C16" s="9">
        <f>-SUM(C8,C9:C15)*'Fane 5. Individuelt eff. krav'!G9</f>
        <v>-117086.81679062</v>
      </c>
      <c r="D16" s="8" t="s">
        <v>3</v>
      </c>
      <c r="E16" s="1"/>
    </row>
    <row r="17" spans="1:5" ht="17.25" customHeight="1" x14ac:dyDescent="0.25">
      <c r="A17" s="1"/>
      <c r="B17" s="23" t="s">
        <v>23</v>
      </c>
      <c r="C17" s="9">
        <f>-'Fane 4.1. Gen. krav - drift'!G43</f>
        <v>-149634.7789775717</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13865174.422706807</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omk.'!C16</f>
        <v>10156120.043639041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-1149243.8696469618</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22872050.596698884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cPwoshx4K8ADkUYBO7c3orHqZqzcmXeFehgRiwFrbYNIMqsRu6JTpjApfYENIMc2hz5N2ChYrRIFIxBD6Ff9A==" saltValue="aMAFskXYkQW+jMiKzTDqg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166</v>
      </c>
      <c r="C3" s="104"/>
      <c r="D3" s="104"/>
      <c r="E3" s="1"/>
    </row>
    <row r="4" spans="1:5" ht="15" customHeight="1" x14ac:dyDescent="0.25">
      <c r="A4" s="1"/>
      <c r="B4" s="104"/>
      <c r="C4" s="104"/>
      <c r="D4" s="104"/>
      <c r="E4" s="1"/>
    </row>
    <row r="5" spans="1:5" x14ac:dyDescent="0.25">
      <c r="A5" s="1"/>
      <c r="B5" s="105"/>
      <c r="C5" s="105"/>
      <c r="D5" s="105"/>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13865174.422706807</v>
      </c>
      <c r="D8" s="8" t="s">
        <v>3</v>
      </c>
      <c r="E8" s="1"/>
    </row>
    <row r="9" spans="1:5" ht="15" customHeight="1" x14ac:dyDescent="0.25">
      <c r="A9" s="1"/>
      <c r="B9" s="64" t="s">
        <v>17</v>
      </c>
      <c r="C9" s="9">
        <f>SUM(C8:C8)*'Fane 13. Nøgletal'!C15</f>
        <v>493600.20944836235</v>
      </c>
      <c r="D9" s="8" t="s">
        <v>3</v>
      </c>
      <c r="E9" s="1"/>
    </row>
    <row r="10" spans="1:5" ht="15" customHeight="1" x14ac:dyDescent="0.25">
      <c r="A10" s="1"/>
      <c r="B10" s="64" t="s">
        <v>9</v>
      </c>
      <c r="C10" s="9">
        <f>-SUM(C8:C9)*'Fane 5. Individuelt eff. krav'!G9</f>
        <v>-118966.57125802845</v>
      </c>
      <c r="D10" s="8" t="s">
        <v>3</v>
      </c>
      <c r="E10" s="1"/>
    </row>
    <row r="11" spans="1:5" ht="15" customHeight="1" x14ac:dyDescent="0.25">
      <c r="A11" s="1"/>
      <c r="B11" s="64" t="s">
        <v>23</v>
      </c>
      <c r="C11" s="9">
        <f>-'Fane 4.1. Gen. krav - drift'!G48</f>
        <v>-151862.54156698979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14087945.51933015</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f>
        <v>10517677.917192591</v>
      </c>
      <c r="D15" s="11" t="s">
        <v>3</v>
      </c>
      <c r="E15" s="1"/>
    </row>
    <row r="16" spans="1:5" x14ac:dyDescent="0.25">
      <c r="A16" s="1"/>
      <c r="B16" s="25" t="s">
        <v>128</v>
      </c>
      <c r="C16" s="68"/>
      <c r="D16" s="19"/>
      <c r="E16" s="1"/>
    </row>
    <row r="17" spans="1:5" ht="15" customHeight="1" x14ac:dyDescent="0.25">
      <c r="A17" s="1"/>
      <c r="B17" s="80" t="s">
        <v>129</v>
      </c>
      <c r="C17" s="10">
        <f>'Fane 7. Kontrol af ØR2021'!E31</f>
        <v>-1149243.8696469618</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23456379.566875778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4PoZpFCjlGnFSNhI2ZzC1ZunB/fDqrxkeDpf4J5CtxSTYc6oZn+bVyLf13OJ3g0zeM8gGpKdYlaPrknt6xfiPw==" saltValue="EKq8fdYcnEI6dmGK1jiWB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167</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14087945.51933015</v>
      </c>
      <c r="D8" s="8" t="s">
        <v>3</v>
      </c>
      <c r="E8" s="1"/>
    </row>
    <row r="9" spans="1:5" ht="15" customHeight="1" x14ac:dyDescent="0.25">
      <c r="A9" s="1"/>
      <c r="B9" s="64" t="s">
        <v>17</v>
      </c>
      <c r="C9" s="9">
        <f>SUM(C8:C8)*'Fane 13. Nøgletal'!C15</f>
        <v>501530.8604881533</v>
      </c>
      <c r="D9" s="8" t="s">
        <v>3</v>
      </c>
      <c r="E9" s="1"/>
    </row>
    <row r="10" spans="1:5" ht="15" customHeight="1" x14ac:dyDescent="0.25">
      <c r="A10" s="1"/>
      <c r="B10" s="64" t="s">
        <v>9</v>
      </c>
      <c r="C10" s="9">
        <f>-SUM(C8:C9)*'Fane 5. Individuelt eff. krav'!G9</f>
        <v>-120878.0014883808</v>
      </c>
      <c r="D10" s="8" t="s">
        <v>3</v>
      </c>
      <c r="E10" s="1"/>
    </row>
    <row r="11" spans="1:5" ht="15" customHeight="1" x14ac:dyDescent="0.25">
      <c r="A11" s="1"/>
      <c r="B11" s="64" t="s">
        <v>23</v>
      </c>
      <c r="C11" s="9">
        <f>-'Fane 4.1. Gen. krav - drift'!G53</f>
        <v>-154123.47108583915</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14314474.907244084</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Nøgletal'!C15)^2</f>
        <v>10892107.251044648</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25206582.158288732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ERQlcDNxTRCOYjf2oU4JGBlv7TKRiwrlUzObR78R8ELQfv1iv8CUCHGVS6ZXcZ/f8EfK3xTdN9YjlKj7fDo3ug==" saltValue="yuj+p1O87h4HyVH/1bEY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168</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14314474.907244084</v>
      </c>
      <c r="D8" s="8" t="s">
        <v>3</v>
      </c>
      <c r="E8" s="1"/>
    </row>
    <row r="9" spans="1:5" ht="15" customHeight="1" x14ac:dyDescent="0.25">
      <c r="A9" s="1"/>
      <c r="B9" s="64" t="s">
        <v>17</v>
      </c>
      <c r="C9" s="9">
        <f>SUM(C8:C8)*'Fane 13. Nøgletal'!C15</f>
        <v>509595.30669788941</v>
      </c>
      <c r="D9" s="8" t="s">
        <v>3</v>
      </c>
      <c r="E9" s="1"/>
    </row>
    <row r="10" spans="1:5" ht="15" customHeight="1" x14ac:dyDescent="0.25">
      <c r="A10" s="1"/>
      <c r="B10" s="64" t="s">
        <v>9</v>
      </c>
      <c r="C10" s="9">
        <f>-SUM(C8:C9)*'Fane 5. Individuelt eff. krav'!G9</f>
        <v>-122821.67877275495</v>
      </c>
      <c r="D10" s="8" t="s">
        <v>3</v>
      </c>
      <c r="E10" s="1"/>
    </row>
    <row r="11" spans="1:5" ht="15" customHeight="1" x14ac:dyDescent="0.25">
      <c r="A11" s="1"/>
      <c r="B11" s="64" t="s">
        <v>23</v>
      </c>
      <c r="C11" s="9">
        <f>-'Fane 4.1. Gen. krav - drift'!G58</f>
        <v>-156418.06132336514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14544830.473845854</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Nøgletal'!C15)^3</f>
        <v>11279866.269181838</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25824696.743027695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EmmCXvV7P9Uv7z3vInVSF1lsVlyjeuw3uOoeO+9q4izbsFhxo96ye7rqO7nrYxDiGa5JNXHmYu6j/2nXBTEYTw==" saltValue="gr6RoatuTTtOg4yArO3hu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171</v>
      </c>
      <c r="C3" s="112"/>
      <c r="D3" s="112"/>
      <c r="E3" s="112"/>
      <c r="F3" s="112"/>
      <c r="G3" s="1"/>
    </row>
    <row r="4" spans="1:7" ht="29.2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13" t="s">
        <v>22</v>
      </c>
      <c r="C9" s="114"/>
      <c r="D9" s="115"/>
      <c r="E9" s="7">
        <v>13326845.188879622</v>
      </c>
      <c r="F9" s="8" t="s">
        <v>3</v>
      </c>
      <c r="G9" s="1"/>
    </row>
    <row r="10" spans="1:7" ht="15" customHeight="1" x14ac:dyDescent="0.25">
      <c r="A10" s="1"/>
      <c r="B10" s="106" t="s">
        <v>35</v>
      </c>
      <c r="C10" s="107"/>
      <c r="D10" s="108"/>
      <c r="E10" s="9">
        <v>269.8877</v>
      </c>
      <c r="F10" s="8" t="s">
        <v>3</v>
      </c>
      <c r="G10" s="1"/>
    </row>
    <row r="11" spans="1:7" ht="15" customHeight="1" x14ac:dyDescent="0.25">
      <c r="A11" s="1"/>
      <c r="B11" s="106" t="s">
        <v>36</v>
      </c>
      <c r="C11" s="107"/>
      <c r="D11" s="108"/>
      <c r="E11" s="9">
        <v>659.16810000000009</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162590.57718847139</v>
      </c>
      <c r="F16" s="8" t="s">
        <v>3</v>
      </c>
      <c r="G16" s="30"/>
    </row>
    <row r="17" spans="1:7" x14ac:dyDescent="0.25">
      <c r="A17" s="1"/>
      <c r="B17" s="106" t="s">
        <v>9</v>
      </c>
      <c r="C17" s="107"/>
      <c r="D17" s="108"/>
      <c r="E17" s="9">
        <v>-102204.2400595472</v>
      </c>
      <c r="F17" s="8" t="s">
        <v>3</v>
      </c>
      <c r="G17" s="1"/>
    </row>
    <row r="18" spans="1:7" x14ac:dyDescent="0.25">
      <c r="A18" s="1"/>
      <c r="B18" s="106" t="s">
        <v>23</v>
      </c>
      <c r="C18" s="107"/>
      <c r="D18" s="108"/>
      <c r="E18" s="9">
        <v>-147431.1583557032</v>
      </c>
      <c r="F18" s="8" t="s">
        <v>3</v>
      </c>
      <c r="G18" s="1"/>
    </row>
    <row r="19" spans="1:7" x14ac:dyDescent="0.25">
      <c r="A19" s="1"/>
      <c r="B19" s="106" t="s">
        <v>24</v>
      </c>
      <c r="C19" s="107"/>
      <c r="D19" s="108"/>
      <c r="E19" s="9">
        <v>-185451.43743171648</v>
      </c>
      <c r="F19" s="8" t="s">
        <v>3</v>
      </c>
      <c r="G19" s="1"/>
    </row>
    <row r="20" spans="1:7" x14ac:dyDescent="0.25">
      <c r="A20" s="1"/>
      <c r="B20" s="119" t="s">
        <v>19</v>
      </c>
      <c r="C20" s="120"/>
      <c r="D20" s="121"/>
      <c r="E20" s="31">
        <f>SUM(E9:E19)</f>
        <v>13055277.986021126</v>
      </c>
      <c r="F20" s="34" t="s">
        <v>3</v>
      </c>
      <c r="G20" s="1"/>
    </row>
    <row r="21" spans="1:7" x14ac:dyDescent="0.25">
      <c r="A21" s="1"/>
      <c r="B21" s="67" t="s">
        <v>11</v>
      </c>
      <c r="C21" s="68"/>
      <c r="D21" s="68"/>
      <c r="E21" s="68"/>
      <c r="F21" s="19"/>
      <c r="G21" s="1"/>
    </row>
    <row r="22" spans="1:7" x14ac:dyDescent="0.25">
      <c r="A22" s="1"/>
      <c r="B22" s="109" t="s">
        <v>11</v>
      </c>
      <c r="C22" s="110"/>
      <c r="D22" s="111"/>
      <c r="E22" s="10">
        <v>9603551.0638272017</v>
      </c>
      <c r="F22" s="11" t="s">
        <v>3</v>
      </c>
      <c r="G22" s="1"/>
    </row>
    <row r="23" spans="1:7" ht="15" customHeight="1" x14ac:dyDescent="0.25">
      <c r="A23" s="1"/>
      <c r="B23" s="125" t="s">
        <v>80</v>
      </c>
      <c r="C23" s="126"/>
      <c r="D23" s="126"/>
      <c r="E23" s="68"/>
      <c r="F23" s="68"/>
      <c r="G23" s="1"/>
    </row>
    <row r="24" spans="1:7" ht="14.25" customHeight="1" x14ac:dyDescent="0.25">
      <c r="A24" s="1"/>
      <c r="B24" s="116" t="s">
        <v>76</v>
      </c>
      <c r="C24" s="117"/>
      <c r="D24" s="118"/>
      <c r="E24" s="9">
        <v>0</v>
      </c>
      <c r="F24" s="8" t="s">
        <v>3</v>
      </c>
      <c r="G24" s="1"/>
    </row>
    <row r="25" spans="1:7" ht="14.25" customHeight="1" x14ac:dyDescent="0.25">
      <c r="A25" s="1"/>
      <c r="B25" s="116" t="s">
        <v>77</v>
      </c>
      <c r="C25" s="117"/>
      <c r="D25" s="118"/>
      <c r="E25" s="9">
        <v>0</v>
      </c>
      <c r="F25" s="8" t="s">
        <v>3</v>
      </c>
      <c r="G25" s="1"/>
    </row>
    <row r="26" spans="1:7" x14ac:dyDescent="0.25">
      <c r="A26" s="1"/>
      <c r="B26" s="122" t="s">
        <v>81</v>
      </c>
      <c r="C26" s="123"/>
      <c r="D26" s="123"/>
      <c r="E26" s="10">
        <v>0</v>
      </c>
      <c r="F26" s="11" t="s">
        <v>3</v>
      </c>
      <c r="G26" s="1"/>
    </row>
    <row r="27" spans="1:7" x14ac:dyDescent="0.25">
      <c r="A27" s="1"/>
      <c r="B27" s="67" t="s">
        <v>128</v>
      </c>
      <c r="C27" s="68"/>
      <c r="D27" s="68"/>
      <c r="E27" s="68"/>
      <c r="F27" s="19"/>
      <c r="G27" s="1"/>
    </row>
    <row r="28" spans="1:7" ht="15" customHeight="1" x14ac:dyDescent="0.25">
      <c r="A28" s="1"/>
      <c r="B28" s="122" t="s">
        <v>129</v>
      </c>
      <c r="C28" s="123"/>
      <c r="D28" s="124"/>
      <c r="E28" s="10">
        <v>-581400.05474895239</v>
      </c>
      <c r="F28" s="11" t="s">
        <v>3</v>
      </c>
      <c r="G28" s="1"/>
    </row>
    <row r="29" spans="1:7" x14ac:dyDescent="0.25">
      <c r="A29" s="1"/>
      <c r="B29" s="67" t="s">
        <v>159</v>
      </c>
      <c r="C29" s="68"/>
      <c r="D29" s="68"/>
      <c r="E29" s="68"/>
      <c r="F29" s="19"/>
      <c r="G29" s="1"/>
    </row>
    <row r="30" spans="1:7" ht="15.75" customHeight="1" x14ac:dyDescent="0.25">
      <c r="A30" s="1"/>
      <c r="B30" s="109" t="s">
        <v>160</v>
      </c>
      <c r="C30" s="110"/>
      <c r="D30" s="111"/>
      <c r="E30" s="10">
        <v>0</v>
      </c>
      <c r="F30" s="11" t="s">
        <v>3</v>
      </c>
      <c r="G30" s="1"/>
    </row>
    <row r="31" spans="1:7" ht="15.75" customHeight="1" x14ac:dyDescent="0.25">
      <c r="A31" s="1"/>
      <c r="B31" s="127" t="s">
        <v>153</v>
      </c>
      <c r="C31" s="128"/>
      <c r="D31" s="128"/>
      <c r="E31" s="128"/>
      <c r="F31" s="129"/>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22077428.995099373</v>
      </c>
      <c r="F33" s="37" t="s">
        <v>3</v>
      </c>
      <c r="G33" s="1"/>
    </row>
    <row r="34" spans="1:7" ht="27.75" customHeight="1" x14ac:dyDescent="0.25">
      <c r="A34" s="1"/>
      <c r="B34" s="116" t="s">
        <v>173</v>
      </c>
      <c r="C34" s="117"/>
      <c r="D34" s="117"/>
      <c r="E34" s="117"/>
      <c r="F34" s="11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5xdSkh/xp4WqGOyxM5qNAqH8Q2JrVtGocRp6IAZb+QXV9qMHkMSpOQmQMIT/hpuj/jRzmSZ8z2sd9WPz+G5ZRQ==" saltValue="vcJDLMyfzzrGLWBoBUABLA=="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5.85546875" style="2" customWidth="1"/>
    <col min="9" max="9" width="6.7109375" style="2" customWidth="1"/>
    <col min="10" max="16384" width="9" style="2"/>
  </cols>
  <sheetData>
    <row r="1" spans="1:9" ht="15" customHeight="1" x14ac:dyDescent="0.25">
      <c r="A1" s="1"/>
      <c r="B1" s="112" t="s">
        <v>98</v>
      </c>
      <c r="C1" s="112"/>
      <c r="D1" s="112"/>
      <c r="E1" s="112"/>
      <c r="F1" s="112"/>
      <c r="G1" s="112"/>
      <c r="H1" s="112"/>
      <c r="I1" s="1"/>
    </row>
    <row r="2" spans="1:9" ht="15" customHeight="1" x14ac:dyDescent="0.25">
      <c r="A2" s="1"/>
      <c r="B2" s="112"/>
      <c r="C2" s="112"/>
      <c r="D2" s="112"/>
      <c r="E2" s="112"/>
      <c r="F2" s="112"/>
      <c r="G2" s="112"/>
      <c r="H2" s="112"/>
      <c r="I2" s="1"/>
    </row>
    <row r="3" spans="1:9" ht="15" customHeight="1" x14ac:dyDescent="0.25">
      <c r="A3" s="1"/>
      <c r="B3" s="112"/>
      <c r="C3" s="112"/>
      <c r="D3" s="112"/>
      <c r="E3" s="112"/>
      <c r="F3" s="112"/>
      <c r="G3" s="112"/>
      <c r="H3" s="112"/>
      <c r="I3" s="1"/>
    </row>
    <row r="4" spans="1:9" x14ac:dyDescent="0.25">
      <c r="A4" s="1"/>
      <c r="B4" s="127" t="s">
        <v>49</v>
      </c>
      <c r="C4" s="128"/>
      <c r="D4" s="128"/>
      <c r="E4" s="128"/>
      <c r="F4" s="128"/>
      <c r="G4" s="128"/>
      <c r="H4" s="129"/>
      <c r="I4" s="1"/>
    </row>
    <row r="5" spans="1:9" x14ac:dyDescent="0.25">
      <c r="A5" s="1"/>
      <c r="B5" s="130" t="s">
        <v>38</v>
      </c>
      <c r="C5" s="131"/>
      <c r="D5" s="131"/>
      <c r="E5" s="131"/>
      <c r="F5" s="132"/>
      <c r="G5" s="58">
        <v>6952035</v>
      </c>
      <c r="H5" s="14" t="s">
        <v>3</v>
      </c>
      <c r="I5" s="1"/>
    </row>
    <row r="6" spans="1:9" x14ac:dyDescent="0.25">
      <c r="A6" s="1"/>
      <c r="B6" s="130" t="s">
        <v>39</v>
      </c>
      <c r="C6" s="131"/>
      <c r="D6" s="131"/>
      <c r="E6" s="131"/>
      <c r="F6" s="132"/>
      <c r="G6" s="58">
        <f>G5*'Fane 13. Nøgletal'!C31</f>
        <v>139040.70000000001</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7" t="s">
        <v>50</v>
      </c>
      <c r="C9" s="128"/>
      <c r="D9" s="128"/>
      <c r="E9" s="128"/>
      <c r="F9" s="128"/>
      <c r="G9" s="133"/>
      <c r="H9" s="129"/>
      <c r="I9" s="1"/>
    </row>
    <row r="10" spans="1:9" x14ac:dyDescent="0.25">
      <c r="A10" s="1"/>
      <c r="B10" s="130" t="s">
        <v>40</v>
      </c>
      <c r="C10" s="131"/>
      <c r="D10" s="131"/>
      <c r="E10" s="131"/>
      <c r="F10" s="132"/>
      <c r="G10" s="58">
        <f>(G5-G6)*(1+'Fane 13. Nøgletal'!C9)</f>
        <v>6899519.3276099991</v>
      </c>
      <c r="H10" s="14" t="s">
        <v>3</v>
      </c>
      <c r="I10" s="1"/>
    </row>
    <row r="11" spans="1:9" x14ac:dyDescent="0.25">
      <c r="A11" s="1"/>
      <c r="B11" s="134" t="s">
        <v>41</v>
      </c>
      <c r="C11" s="135"/>
      <c r="D11" s="135"/>
      <c r="E11" s="135"/>
      <c r="F11" s="136"/>
      <c r="G11" s="58">
        <v>0</v>
      </c>
      <c r="H11" s="14" t="s">
        <v>3</v>
      </c>
      <c r="I11" s="1"/>
    </row>
    <row r="12" spans="1:9" x14ac:dyDescent="0.25">
      <c r="A12" s="1"/>
      <c r="B12" s="130" t="s">
        <v>42</v>
      </c>
      <c r="C12" s="131"/>
      <c r="D12" s="131"/>
      <c r="E12" s="131"/>
      <c r="F12" s="132"/>
      <c r="G12" s="58">
        <f>(G10+G11)*'Fane 13. Nøgletal'!C31</f>
        <v>137990.38655219998</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7" t="s">
        <v>51</v>
      </c>
      <c r="C15" s="128"/>
      <c r="D15" s="128"/>
      <c r="E15" s="128"/>
      <c r="F15" s="128"/>
      <c r="G15" s="133"/>
      <c r="H15" s="129"/>
      <c r="I15" s="1"/>
    </row>
    <row r="16" spans="1:9" x14ac:dyDescent="0.25">
      <c r="A16" s="1"/>
      <c r="B16" s="130" t="s">
        <v>43</v>
      </c>
      <c r="C16" s="131"/>
      <c r="D16" s="131"/>
      <c r="E16" s="131"/>
      <c r="F16" s="132"/>
      <c r="G16" s="58">
        <f>(G10+G11-G12)*(1+'Fane 13. Nøgletal'!C11)</f>
        <v>6875798.780161676</v>
      </c>
      <c r="H16" s="14" t="s">
        <v>3</v>
      </c>
      <c r="I16" s="1"/>
    </row>
    <row r="17" spans="1:9" x14ac:dyDescent="0.25">
      <c r="A17" s="1"/>
      <c r="B17" s="130" t="s">
        <v>108</v>
      </c>
      <c r="C17" s="131"/>
      <c r="D17" s="131"/>
      <c r="E17" s="131"/>
      <c r="F17" s="132"/>
      <c r="G17" s="58">
        <v>-0.43476989980806591</v>
      </c>
      <c r="H17" s="14" t="s">
        <v>3</v>
      </c>
      <c r="I17" s="1"/>
    </row>
    <row r="18" spans="1:9" x14ac:dyDescent="0.25">
      <c r="A18" s="1"/>
      <c r="B18" s="134" t="s">
        <v>44</v>
      </c>
      <c r="C18" s="135"/>
      <c r="D18" s="135"/>
      <c r="E18" s="135"/>
      <c r="F18" s="136"/>
      <c r="G18" s="58">
        <v>0</v>
      </c>
      <c r="H18" s="14" t="s">
        <v>3</v>
      </c>
      <c r="I18" s="1"/>
    </row>
    <row r="19" spans="1:9" x14ac:dyDescent="0.25">
      <c r="A19" s="1"/>
      <c r="B19" s="130" t="s">
        <v>45</v>
      </c>
      <c r="C19" s="131"/>
      <c r="D19" s="131"/>
      <c r="E19" s="131"/>
      <c r="F19" s="132"/>
      <c r="G19" s="58">
        <f>SUM(G16:G18)*'Fane 13. Nøgletal'!C31</f>
        <v>137515.96690783554</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7" t="s">
        <v>52</v>
      </c>
      <c r="C22" s="128"/>
      <c r="D22" s="128"/>
      <c r="E22" s="128"/>
      <c r="F22" s="128"/>
      <c r="G22" s="133"/>
      <c r="H22" s="129"/>
      <c r="I22" s="1"/>
    </row>
    <row r="23" spans="1:9" x14ac:dyDescent="0.25">
      <c r="A23" s="1"/>
      <c r="B23" s="130" t="s">
        <v>46</v>
      </c>
      <c r="C23" s="131"/>
      <c r="D23" s="131"/>
      <c r="E23" s="131"/>
      <c r="F23" s="132"/>
      <c r="G23" s="58">
        <f>(SUM(G16:G18)-G19)*(1+'Fane 13. Nøgletal'!C11)</f>
        <v>6852159.3506803187</v>
      </c>
      <c r="H23" s="14" t="s">
        <v>3</v>
      </c>
      <c r="I23" s="1"/>
    </row>
    <row r="24" spans="1:9" x14ac:dyDescent="0.25">
      <c r="A24" s="1"/>
      <c r="B24" s="134" t="s">
        <v>47</v>
      </c>
      <c r="C24" s="135"/>
      <c r="D24" s="135"/>
      <c r="E24" s="135"/>
      <c r="F24" s="136"/>
      <c r="G24" s="58">
        <v>603137.39990922005</v>
      </c>
      <c r="H24" s="14" t="s">
        <v>3</v>
      </c>
      <c r="I24" s="1"/>
    </row>
    <row r="25" spans="1:9" x14ac:dyDescent="0.25">
      <c r="A25" s="1"/>
      <c r="B25" s="130" t="s">
        <v>48</v>
      </c>
      <c r="C25" s="131"/>
      <c r="D25" s="131"/>
      <c r="E25" s="131"/>
      <c r="F25" s="132"/>
      <c r="G25" s="58">
        <f>(G23+G24)*'Fane 13. Nøgletal'!C31</f>
        <v>149105.93501179077</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7" t="s">
        <v>132</v>
      </c>
      <c r="C28" s="128"/>
      <c r="D28" s="128"/>
      <c r="E28" s="128"/>
      <c r="F28" s="128"/>
      <c r="G28" s="133"/>
      <c r="H28" s="129"/>
      <c r="I28" s="1"/>
    </row>
    <row r="29" spans="1:9" x14ac:dyDescent="0.25">
      <c r="A29" s="1"/>
      <c r="B29" s="130" t="s">
        <v>55</v>
      </c>
      <c r="C29" s="131"/>
      <c r="D29" s="131"/>
      <c r="E29" s="131"/>
      <c r="F29" s="132"/>
      <c r="G29" s="58">
        <f>(G23+G24-G25)*(1+'Fane 13. Nøgletal'!C13)</f>
        <v>7395326.3435277957</v>
      </c>
      <c r="H29" s="14" t="s">
        <v>3</v>
      </c>
      <c r="I29" s="1"/>
    </row>
    <row r="30" spans="1:9" x14ac:dyDescent="0.25">
      <c r="A30" s="1"/>
      <c r="B30" s="130" t="s">
        <v>121</v>
      </c>
      <c r="C30" s="131"/>
      <c r="D30" s="131"/>
      <c r="E30" s="131"/>
      <c r="F30" s="132"/>
      <c r="G30" s="58">
        <v>35736.263539200001</v>
      </c>
      <c r="H30" s="14" t="s">
        <v>3</v>
      </c>
      <c r="I30" s="1"/>
    </row>
    <row r="31" spans="1:9" x14ac:dyDescent="0.25">
      <c r="A31" s="1"/>
      <c r="B31" s="130" t="s">
        <v>126</v>
      </c>
      <c r="C31" s="131"/>
      <c r="D31" s="131"/>
      <c r="E31" s="131"/>
      <c r="F31" s="132"/>
      <c r="G31" s="58">
        <f>(G29+G30)*'Fane 13. Nøgletal'!C31</f>
        <v>148621.25214133991</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7" t="s">
        <v>133</v>
      </c>
      <c r="C34" s="128"/>
      <c r="D34" s="128"/>
      <c r="E34" s="128"/>
      <c r="F34" s="128"/>
      <c r="G34" s="133"/>
      <c r="H34" s="129"/>
      <c r="I34" s="1"/>
    </row>
    <row r="35" spans="1:9" x14ac:dyDescent="0.25">
      <c r="A35" s="1"/>
      <c r="B35" s="130" t="s">
        <v>74</v>
      </c>
      <c r="C35" s="131"/>
      <c r="D35" s="131"/>
      <c r="E35" s="131"/>
      <c r="F35" s="132"/>
      <c r="G35" s="58">
        <f>(G29+G30-G31)*(1+'Fane 13. Nøgletal'!C13)</f>
        <v>7371287.1394557487</v>
      </c>
      <c r="H35" s="14" t="s">
        <v>3</v>
      </c>
      <c r="I35" s="1"/>
    </row>
    <row r="36" spans="1:9" x14ac:dyDescent="0.25">
      <c r="A36" s="1"/>
      <c r="B36" s="130" t="s">
        <v>152</v>
      </c>
      <c r="C36" s="131"/>
      <c r="D36" s="131"/>
      <c r="E36" s="131"/>
      <c r="F36" s="132"/>
      <c r="G36" s="58">
        <f>('Fane 3. Omkostninger i ØR2022'!E10+'Fane 3. Omkostninger i ØR2022'!E12+'Fane 3. Omkostninger i ØR2022'!E14)*(1+'Fane 13. Nøgletal'!C14)</f>
        <v>270.77832941000003</v>
      </c>
      <c r="H36" s="14" t="s">
        <v>3</v>
      </c>
      <c r="I36" s="1"/>
    </row>
    <row r="37" spans="1:9" x14ac:dyDescent="0.25">
      <c r="A37" s="1"/>
      <c r="B37" s="130" t="s">
        <v>134</v>
      </c>
      <c r="C37" s="131"/>
      <c r="D37" s="131"/>
      <c r="E37" s="131"/>
      <c r="F37" s="132"/>
      <c r="G37" s="58">
        <f>(G35+G36)*'Fane 13. Nøgletal'!C31</f>
        <v>147431.15835570317</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7" t="s">
        <v>198</v>
      </c>
      <c r="C40" s="128"/>
      <c r="D40" s="128"/>
      <c r="E40" s="128"/>
      <c r="F40" s="128"/>
      <c r="G40" s="133"/>
      <c r="H40" s="129"/>
      <c r="I40" s="1"/>
    </row>
    <row r="41" spans="1:9" x14ac:dyDescent="0.25">
      <c r="A41" s="1"/>
      <c r="B41" s="130" t="s">
        <v>73</v>
      </c>
      <c r="C41" s="131"/>
      <c r="D41" s="131"/>
      <c r="E41" s="131"/>
      <c r="F41" s="132"/>
      <c r="G41" s="58">
        <f>(G35+G36-G37)*(1+'Fane 13. Nøgletal'!C15)</f>
        <v>7481305.6720651444</v>
      </c>
      <c r="H41" s="14" t="s">
        <v>3</v>
      </c>
      <c r="I41" s="1"/>
    </row>
    <row r="42" spans="1:9" x14ac:dyDescent="0.25">
      <c r="A42" s="1"/>
      <c r="B42" s="130" t="s">
        <v>197</v>
      </c>
      <c r="C42" s="131"/>
      <c r="D42" s="131"/>
      <c r="E42" s="131"/>
      <c r="F42" s="132"/>
      <c r="G42" s="58">
        <f>('Fane 2.1. Økonomisk ramme 2023'!C9+'Fane 2.1. Økonomisk ramme 2023'!C11+'Fane 2.1. Økonomisk ramme 2023'!C13)*(1+'Fane 13. Nøgletal'!C15)</f>
        <v>433.27681344000007</v>
      </c>
      <c r="H42" s="14" t="s">
        <v>3</v>
      </c>
      <c r="I42" s="1"/>
    </row>
    <row r="43" spans="1:9" x14ac:dyDescent="0.25">
      <c r="A43" s="1"/>
      <c r="B43" s="130" t="s">
        <v>208</v>
      </c>
      <c r="C43" s="131"/>
      <c r="D43" s="131"/>
      <c r="E43" s="131"/>
      <c r="F43" s="132"/>
      <c r="G43" s="58">
        <f>(G41+G42)*'Fane 13. Nøgletal'!C31</f>
        <v>149634.7789775717</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7" t="s">
        <v>199</v>
      </c>
      <c r="C46" s="128"/>
      <c r="D46" s="128"/>
      <c r="E46" s="128"/>
      <c r="F46" s="128"/>
      <c r="G46" s="133"/>
      <c r="H46" s="129"/>
      <c r="I46" s="1"/>
    </row>
    <row r="47" spans="1:9" x14ac:dyDescent="0.25">
      <c r="A47" s="1"/>
      <c r="B47" s="130" t="s">
        <v>122</v>
      </c>
      <c r="C47" s="131"/>
      <c r="D47" s="131"/>
      <c r="E47" s="131"/>
      <c r="F47" s="132"/>
      <c r="G47" s="58">
        <f>(G41+G42-G43)*(1+'Fane 13. Nøgletal'!C15)</f>
        <v>7593127.0783494888</v>
      </c>
      <c r="H47" s="14" t="s">
        <v>3</v>
      </c>
      <c r="I47" s="1"/>
    </row>
    <row r="48" spans="1:9" x14ac:dyDescent="0.25">
      <c r="A48" s="1"/>
      <c r="B48" s="130" t="s">
        <v>209</v>
      </c>
      <c r="C48" s="131"/>
      <c r="D48" s="131"/>
      <c r="E48" s="131"/>
      <c r="F48" s="132"/>
      <c r="G48" s="58">
        <f>(G47)*'Fane 13. Nøgletal'!C31</f>
        <v>151862.54156698979</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7" t="s">
        <v>145</v>
      </c>
      <c r="C51" s="128"/>
      <c r="D51" s="128"/>
      <c r="E51" s="128"/>
      <c r="F51" s="128"/>
      <c r="G51" s="133"/>
      <c r="H51" s="129"/>
      <c r="I51" s="1"/>
    </row>
    <row r="52" spans="1:9" x14ac:dyDescent="0.25">
      <c r="A52" s="1"/>
      <c r="B52" s="130" t="s">
        <v>146</v>
      </c>
      <c r="C52" s="131"/>
      <c r="D52" s="131"/>
      <c r="E52" s="131"/>
      <c r="F52" s="132"/>
      <c r="G52" s="58">
        <f>(G47-G48)*(1+'Fane 13. Nøgletal'!C15)</f>
        <v>7706173.5542919571</v>
      </c>
      <c r="H52" s="14" t="s">
        <v>3</v>
      </c>
      <c r="I52" s="1"/>
    </row>
    <row r="53" spans="1:9" x14ac:dyDescent="0.25">
      <c r="A53" s="1"/>
      <c r="B53" s="130" t="s">
        <v>147</v>
      </c>
      <c r="C53" s="131"/>
      <c r="D53" s="131"/>
      <c r="E53" s="131"/>
      <c r="F53" s="132"/>
      <c r="G53" s="58">
        <f>(G52)*'Fane 13. Nøgletal'!C31</f>
        <v>154123.47108583915</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7" t="s">
        <v>174</v>
      </c>
      <c r="C56" s="128"/>
      <c r="D56" s="128"/>
      <c r="E56" s="128"/>
      <c r="F56" s="128"/>
      <c r="G56" s="133"/>
      <c r="H56" s="129"/>
      <c r="I56" s="1"/>
    </row>
    <row r="57" spans="1:9" x14ac:dyDescent="0.25">
      <c r="A57" s="1"/>
      <c r="B57" s="130" t="s">
        <v>175</v>
      </c>
      <c r="C57" s="131"/>
      <c r="D57" s="131"/>
      <c r="E57" s="131"/>
      <c r="F57" s="132"/>
      <c r="G57" s="58">
        <f>(G52-G53)*(1+'Fane 13. Nøgletal'!C15)</f>
        <v>7820903.0661682561</v>
      </c>
      <c r="H57" s="14" t="s">
        <v>3</v>
      </c>
      <c r="I57" s="1"/>
    </row>
    <row r="58" spans="1:9" x14ac:dyDescent="0.25">
      <c r="A58" s="1"/>
      <c r="B58" s="130" t="s">
        <v>176</v>
      </c>
      <c r="C58" s="131"/>
      <c r="D58" s="131"/>
      <c r="E58" s="131"/>
      <c r="F58" s="132"/>
      <c r="G58" s="58">
        <f>(G57)*'Fane 13. Nøgletal'!C31</f>
        <v>156418.06132336514</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7tYBUXpP6pBuHW88CTEAzzN2xQDSScGlN/U6L7JwInckRyUfxFIPTLkt8AlmqxHePlH/BoBvGpJPOu+ffQVSyA==" saltValue="fDpNiHEfjkUYkBljoW7WGA=="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2"/>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10.5703125" style="2" customWidth="1"/>
    <col min="9" max="9" width="6" style="2" customWidth="1"/>
    <col min="10" max="16384" width="9" style="2"/>
  </cols>
  <sheetData>
    <row r="1" spans="1:9" x14ac:dyDescent="0.25">
      <c r="A1" s="1"/>
      <c r="B1" s="137" t="s">
        <v>99</v>
      </c>
      <c r="C1" s="138"/>
      <c r="D1" s="138"/>
      <c r="E1" s="138"/>
      <c r="F1" s="138"/>
      <c r="G1" s="138"/>
      <c r="H1" s="138"/>
      <c r="I1" s="1"/>
    </row>
    <row r="2" spans="1:9" ht="19.899999999999999" customHeight="1" x14ac:dyDescent="0.25">
      <c r="A2" s="1"/>
      <c r="B2" s="138"/>
      <c r="C2" s="138"/>
      <c r="D2" s="138"/>
      <c r="E2" s="138"/>
      <c r="F2" s="138"/>
      <c r="G2" s="138"/>
      <c r="H2" s="138"/>
      <c r="I2" s="1"/>
    </row>
    <row r="3" spans="1:9" ht="15" customHeight="1" x14ac:dyDescent="0.25">
      <c r="A3" s="1"/>
      <c r="B3" s="139"/>
      <c r="C3" s="139"/>
      <c r="D3" s="139"/>
      <c r="E3" s="139"/>
      <c r="F3" s="139"/>
      <c r="G3" s="139"/>
      <c r="H3" s="139"/>
      <c r="I3" s="1"/>
    </row>
    <row r="4" spans="1:9" x14ac:dyDescent="0.25">
      <c r="A4" s="1"/>
      <c r="B4" s="127" t="s">
        <v>53</v>
      </c>
      <c r="C4" s="128"/>
      <c r="D4" s="128"/>
      <c r="E4" s="128"/>
      <c r="F4" s="128"/>
      <c r="G4" s="128"/>
      <c r="H4" s="129"/>
      <c r="I4" s="1"/>
    </row>
    <row r="5" spans="1:9" x14ac:dyDescent="0.25">
      <c r="A5" s="1"/>
      <c r="B5" s="130" t="s">
        <v>56</v>
      </c>
      <c r="C5" s="131"/>
      <c r="D5" s="131"/>
      <c r="E5" s="131"/>
      <c r="F5" s="132"/>
      <c r="G5" s="58">
        <v>4888007</v>
      </c>
      <c r="H5" s="14" t="s">
        <v>3</v>
      </c>
      <c r="I5" s="1"/>
    </row>
    <row r="6" spans="1:9" x14ac:dyDescent="0.25">
      <c r="A6" s="1"/>
      <c r="B6" s="130" t="s">
        <v>54</v>
      </c>
      <c r="C6" s="131"/>
      <c r="D6" s="131"/>
      <c r="E6" s="131"/>
      <c r="F6" s="132"/>
      <c r="G6" s="58">
        <f>G5*'Fane 13. Nøgletal'!C20</f>
        <v>44480.863700000002</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7" t="s">
        <v>57</v>
      </c>
      <c r="C9" s="128"/>
      <c r="D9" s="128"/>
      <c r="E9" s="128"/>
      <c r="F9" s="128"/>
      <c r="G9" s="133"/>
      <c r="H9" s="129"/>
      <c r="I9" s="1"/>
    </row>
    <row r="10" spans="1:9" x14ac:dyDescent="0.25">
      <c r="A10" s="1"/>
      <c r="B10" s="130" t="s">
        <v>58</v>
      </c>
      <c r="C10" s="131"/>
      <c r="D10" s="131"/>
      <c r="E10" s="131"/>
      <c r="F10" s="132"/>
      <c r="G10" s="58">
        <f>(G5-G6)*(1+'Fane 13. Nøgletal'!C9)</f>
        <v>4905038.9182310104</v>
      </c>
      <c r="H10" s="14" t="s">
        <v>3</v>
      </c>
      <c r="I10" s="1"/>
    </row>
    <row r="11" spans="1:9" x14ac:dyDescent="0.25">
      <c r="A11" s="1"/>
      <c r="B11" s="134" t="s">
        <v>59</v>
      </c>
      <c r="C11" s="135"/>
      <c r="D11" s="135"/>
      <c r="E11" s="135"/>
      <c r="F11" s="136"/>
      <c r="G11" s="63">
        <v>0</v>
      </c>
      <c r="H11" s="14" t="s">
        <v>3</v>
      </c>
      <c r="I11" s="1"/>
    </row>
    <row r="12" spans="1:9" x14ac:dyDescent="0.25">
      <c r="A12" s="1"/>
      <c r="B12" s="130" t="s">
        <v>60</v>
      </c>
      <c r="C12" s="131"/>
      <c r="D12" s="131"/>
      <c r="E12" s="131"/>
      <c r="F12" s="132"/>
      <c r="G12" s="58">
        <f>G10*'Fane 13. Nøgletal'!C20+G11*'Fane 13. Nøgletal'!C21</f>
        <v>44635.854155902198</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7" t="s">
        <v>61</v>
      </c>
      <c r="C15" s="128"/>
      <c r="D15" s="128"/>
      <c r="E15" s="128"/>
      <c r="F15" s="128"/>
      <c r="G15" s="133"/>
      <c r="H15" s="129"/>
      <c r="I15" s="1"/>
    </row>
    <row r="16" spans="1:9" x14ac:dyDescent="0.25">
      <c r="A16" s="1"/>
      <c r="B16" s="130" t="s">
        <v>62</v>
      </c>
      <c r="C16" s="131"/>
      <c r="D16" s="131"/>
      <c r="E16" s="131"/>
      <c r="F16" s="132"/>
      <c r="G16" s="58">
        <f>(G10+G11-G12)*(1+'Fane 13. Nøgletal'!C11)</f>
        <v>4942543.8758579772</v>
      </c>
      <c r="H16" s="14" t="s">
        <v>3</v>
      </c>
      <c r="I16" s="1"/>
    </row>
    <row r="17" spans="1:9" x14ac:dyDescent="0.25">
      <c r="A17" s="1"/>
      <c r="B17" s="130" t="s">
        <v>109</v>
      </c>
      <c r="C17" s="131"/>
      <c r="D17" s="131"/>
      <c r="E17" s="131"/>
      <c r="F17" s="132"/>
      <c r="G17" s="58">
        <v>-381601.703925838</v>
      </c>
      <c r="H17" s="14" t="s">
        <v>3</v>
      </c>
      <c r="I17" s="1"/>
    </row>
    <row r="18" spans="1:9" x14ac:dyDescent="0.25">
      <c r="A18" s="1"/>
      <c r="B18" s="134" t="s">
        <v>63</v>
      </c>
      <c r="C18" s="135"/>
      <c r="D18" s="135"/>
      <c r="E18" s="135"/>
      <c r="F18" s="136"/>
      <c r="G18" s="58">
        <v>0</v>
      </c>
      <c r="H18" s="14" t="s">
        <v>3</v>
      </c>
      <c r="I18" s="1"/>
    </row>
    <row r="19" spans="1:9" x14ac:dyDescent="0.25">
      <c r="A19" s="1"/>
      <c r="B19" s="130" t="s">
        <v>64</v>
      </c>
      <c r="C19" s="131"/>
      <c r="D19" s="131"/>
      <c r="E19" s="131"/>
      <c r="F19" s="132"/>
      <c r="G19" s="58">
        <f>(G16+G17+G18)*'Fane 13. Nøgletal'!C22</f>
        <v>39680.196895809611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7" t="s">
        <v>65</v>
      </c>
      <c r="C22" s="128"/>
      <c r="D22" s="128"/>
      <c r="E22" s="128"/>
      <c r="F22" s="128"/>
      <c r="G22" s="133"/>
      <c r="H22" s="129"/>
      <c r="I22" s="1"/>
    </row>
    <row r="23" spans="1:9" x14ac:dyDescent="0.25">
      <c r="A23" s="1"/>
      <c r="B23" s="130" t="s">
        <v>66</v>
      </c>
      <c r="C23" s="131"/>
      <c r="D23" s="131"/>
      <c r="E23" s="131"/>
      <c r="F23" s="132"/>
      <c r="G23" s="58">
        <f>(SUM(G16:G18)-G19)*(1+'Fane 13. Nøgletal'!C11)</f>
        <v>4597671.3024144433</v>
      </c>
      <c r="H23" s="14" t="s">
        <v>3</v>
      </c>
      <c r="I23" s="1"/>
    </row>
    <row r="24" spans="1:9" x14ac:dyDescent="0.25">
      <c r="A24" s="1"/>
      <c r="B24" s="134" t="s">
        <v>67</v>
      </c>
      <c r="C24" s="135"/>
      <c r="D24" s="135"/>
      <c r="E24" s="135"/>
      <c r="F24" s="136"/>
      <c r="G24" s="58">
        <v>1947217.8731740618</v>
      </c>
      <c r="H24" s="14" t="s">
        <v>3</v>
      </c>
      <c r="I24" s="1"/>
    </row>
    <row r="25" spans="1:9" x14ac:dyDescent="0.25">
      <c r="A25" s="1"/>
      <c r="B25" s="130" t="s">
        <v>68</v>
      </c>
      <c r="C25" s="131"/>
      <c r="D25" s="131"/>
      <c r="E25" s="131"/>
      <c r="F25" s="132"/>
      <c r="G25" s="58">
        <f>G23*'Fane 13. Nøgletal'!C22+G24*'Fane 13. Nøgletal'!C23</f>
        <v>95300.727929148998</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7" t="s">
        <v>130</v>
      </c>
      <c r="C28" s="128"/>
      <c r="D28" s="128"/>
      <c r="E28" s="128"/>
      <c r="F28" s="128"/>
      <c r="G28" s="133"/>
      <c r="H28" s="129"/>
      <c r="I28" s="1"/>
    </row>
    <row r="29" spans="1:9" x14ac:dyDescent="0.25">
      <c r="A29" s="1"/>
      <c r="B29" s="130" t="s">
        <v>69</v>
      </c>
      <c r="C29" s="131"/>
      <c r="D29" s="131"/>
      <c r="E29" s="131"/>
      <c r="F29" s="132"/>
      <c r="G29" s="58">
        <f>(G23+G24-G25)*(1+'Fane 13. Nøgletal'!C13)</f>
        <v>6528273.4267208008</v>
      </c>
      <c r="H29" s="14" t="s">
        <v>3</v>
      </c>
      <c r="I29" s="1"/>
    </row>
    <row r="30" spans="1:9" x14ac:dyDescent="0.25">
      <c r="A30" s="1"/>
      <c r="B30" s="130" t="s">
        <v>123</v>
      </c>
      <c r="C30" s="131"/>
      <c r="D30" s="131"/>
      <c r="E30" s="131"/>
      <c r="F30" s="132"/>
      <c r="G30" s="58">
        <v>322169.38273799996</v>
      </c>
      <c r="H30" s="14" t="s">
        <v>3</v>
      </c>
      <c r="I30" s="1"/>
    </row>
    <row r="31" spans="1:9" x14ac:dyDescent="0.25">
      <c r="A31" s="1"/>
      <c r="B31" s="130" t="s">
        <v>131</v>
      </c>
      <c r="C31" s="131"/>
      <c r="D31" s="131"/>
      <c r="E31" s="131"/>
      <c r="F31" s="132"/>
      <c r="G31" s="58">
        <f>(G29+G30)*'Fane 13. Nøgletal'!C24</f>
        <v>188387.17726011702</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7" t="s">
        <v>135</v>
      </c>
      <c r="C34" s="128"/>
      <c r="D34" s="128"/>
      <c r="E34" s="128"/>
      <c r="F34" s="128"/>
      <c r="G34" s="133"/>
      <c r="H34" s="129"/>
      <c r="I34" s="1"/>
    </row>
    <row r="35" spans="1:9" x14ac:dyDescent="0.25">
      <c r="A35" s="1"/>
      <c r="B35" s="130" t="s">
        <v>72</v>
      </c>
      <c r="C35" s="131"/>
      <c r="D35" s="131"/>
      <c r="E35" s="131"/>
      <c r="F35" s="132"/>
      <c r="G35" s="58">
        <f>(G29+G30-G31)*(1+'Fane 13. Nøgletal'!C13)</f>
        <v>6743332.7109115077</v>
      </c>
      <c r="H35" s="14" t="s">
        <v>3</v>
      </c>
      <c r="I35" s="1"/>
    </row>
    <row r="36" spans="1:9" x14ac:dyDescent="0.25">
      <c r="A36" s="1"/>
      <c r="B36" s="130" t="s">
        <v>141</v>
      </c>
      <c r="C36" s="131"/>
      <c r="D36" s="131"/>
      <c r="E36" s="131"/>
      <c r="F36" s="132"/>
      <c r="G36" s="58">
        <f>SUM('Fane 3. Omkostninger i ØR2022'!E11)*(1+'Fane 13. Nøgletal'!C14)</f>
        <v>661.3433547300001</v>
      </c>
      <c r="H36" s="14" t="s">
        <v>3</v>
      </c>
      <c r="I36" s="1"/>
    </row>
    <row r="37" spans="1:9" x14ac:dyDescent="0.25">
      <c r="A37" s="1"/>
      <c r="B37" s="130" t="s">
        <v>136</v>
      </c>
      <c r="C37" s="131"/>
      <c r="D37" s="131"/>
      <c r="E37" s="131"/>
      <c r="F37" s="132"/>
      <c r="G37" s="58">
        <f>G35*'Fane 13. Nøgletal'!C24+G36*'Fane 13. Nøgletal'!C25</f>
        <v>185451.43743171648</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7" t="s">
        <v>200</v>
      </c>
      <c r="C40" s="128"/>
      <c r="D40" s="128"/>
      <c r="E40" s="128"/>
      <c r="F40" s="128"/>
      <c r="G40" s="133"/>
      <c r="H40" s="129"/>
      <c r="I40" s="1"/>
    </row>
    <row r="41" spans="1:9" x14ac:dyDescent="0.25">
      <c r="A41" s="1"/>
      <c r="B41" s="130" t="s">
        <v>71</v>
      </c>
      <c r="C41" s="131"/>
      <c r="D41" s="131"/>
      <c r="E41" s="131"/>
      <c r="F41" s="132"/>
      <c r="G41" s="58">
        <f>(G35+G36-G37)*(1+'Fane 13. Nøgletal'!C15)</f>
        <v>6792026.7339938311</v>
      </c>
      <c r="H41" s="14" t="s">
        <v>3</v>
      </c>
      <c r="I41" s="1"/>
    </row>
    <row r="42" spans="1:9" x14ac:dyDescent="0.25">
      <c r="A42" s="1"/>
      <c r="B42" s="130" t="s">
        <v>211</v>
      </c>
      <c r="C42" s="131"/>
      <c r="D42" s="131"/>
      <c r="E42" s="131"/>
      <c r="F42" s="132"/>
      <c r="G42" s="63">
        <f>SUM('Fane 2.1. Økonomisk ramme 2023'!C10+'Fane 2.1. Økonomisk ramme 2023'!C12+'Fane 2.1. Økonomisk ramme 2023'!C14)*(1+'Fane 13. Nøgletal'!C15)</f>
        <v>611416.85933808004</v>
      </c>
      <c r="H42" s="14" t="s">
        <v>3</v>
      </c>
      <c r="I42" s="1"/>
    </row>
    <row r="43" spans="1:9" x14ac:dyDescent="0.25">
      <c r="A43" s="1"/>
      <c r="B43" s="130" t="s">
        <v>70</v>
      </c>
      <c r="C43" s="131"/>
      <c r="D43" s="131"/>
      <c r="E43" s="131"/>
      <c r="F43" s="132"/>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7" t="s">
        <v>201</v>
      </c>
      <c r="C46" s="128"/>
      <c r="D46" s="128"/>
      <c r="E46" s="128"/>
      <c r="F46" s="128"/>
      <c r="G46" s="133"/>
      <c r="H46" s="129"/>
      <c r="I46" s="1"/>
    </row>
    <row r="47" spans="1:9" x14ac:dyDescent="0.25">
      <c r="A47" s="1"/>
      <c r="B47" s="130" t="s">
        <v>124</v>
      </c>
      <c r="C47" s="131"/>
      <c r="D47" s="131"/>
      <c r="E47" s="131"/>
      <c r="F47" s="132"/>
      <c r="G47" s="58">
        <f>(G41+G42-G43)*(1+'Fane 13. Nøgletal'!C15)</f>
        <v>7667006.1852545273</v>
      </c>
      <c r="H47" s="14" t="s">
        <v>3</v>
      </c>
      <c r="I47" s="1"/>
    </row>
    <row r="48" spans="1:9" x14ac:dyDescent="0.25">
      <c r="A48" s="1"/>
      <c r="B48" s="130" t="s">
        <v>125</v>
      </c>
      <c r="C48" s="131"/>
      <c r="D48" s="131"/>
      <c r="E48" s="131"/>
      <c r="F48" s="132"/>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7" t="s">
        <v>142</v>
      </c>
      <c r="C51" s="128"/>
      <c r="D51" s="128"/>
      <c r="E51" s="128"/>
      <c r="F51" s="128"/>
      <c r="G51" s="133"/>
      <c r="H51" s="129"/>
      <c r="I51" s="1"/>
    </row>
    <row r="52" spans="1:9" x14ac:dyDescent="0.25">
      <c r="A52" s="1"/>
      <c r="B52" s="130" t="s">
        <v>143</v>
      </c>
      <c r="C52" s="131"/>
      <c r="D52" s="131"/>
      <c r="E52" s="131"/>
      <c r="F52" s="132"/>
      <c r="G52" s="58">
        <f>(G47-G48)*(1+'Fane 13. Nøgletal'!C15)</f>
        <v>7939951.605449589</v>
      </c>
      <c r="H52" s="14" t="s">
        <v>3</v>
      </c>
      <c r="I52" s="1"/>
    </row>
    <row r="53" spans="1:9" x14ac:dyDescent="0.25">
      <c r="A53" s="1"/>
      <c r="B53" s="130" t="s">
        <v>144</v>
      </c>
      <c r="C53" s="131"/>
      <c r="D53" s="131"/>
      <c r="E53" s="131"/>
      <c r="F53" s="132"/>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7" t="s">
        <v>177</v>
      </c>
      <c r="C56" s="128"/>
      <c r="D56" s="128"/>
      <c r="E56" s="128"/>
      <c r="F56" s="128"/>
      <c r="G56" s="133"/>
      <c r="H56" s="129"/>
      <c r="I56" s="1"/>
    </row>
    <row r="57" spans="1:9" x14ac:dyDescent="0.25">
      <c r="A57" s="1"/>
      <c r="B57" s="130" t="s">
        <v>178</v>
      </c>
      <c r="C57" s="131"/>
      <c r="D57" s="131"/>
      <c r="E57" s="131"/>
      <c r="F57" s="132"/>
      <c r="G57" s="58">
        <f>(G52-G53)*(1+'Fane 13. Nøgletal'!C15)</f>
        <v>8222613.882603595</v>
      </c>
      <c r="H57" s="14" t="s">
        <v>3</v>
      </c>
      <c r="I57" s="1"/>
    </row>
    <row r="58" spans="1:9" x14ac:dyDescent="0.25">
      <c r="A58" s="1"/>
      <c r="B58" s="130" t="s">
        <v>179</v>
      </c>
      <c r="C58" s="131"/>
      <c r="D58" s="131"/>
      <c r="E58" s="131"/>
      <c r="F58" s="132"/>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sheetData>
  <sheetProtection algorithmName="SHA-512" hashValue="YMqT6X0EkaQxO75I0cOSyX/1gfEkeO647fjNcL86K61AJ/JQ52/x96tHAjxW5OtxMrrDoIvOYs2n/wh04cZi9Q==" saltValue="w2Tg3WDT/SduIelmr5QBVg=="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4" t="s">
        <v>82</v>
      </c>
      <c r="C3" s="104"/>
      <c r="D3" s="104"/>
      <c r="E3" s="104"/>
      <c r="F3" s="104"/>
      <c r="G3" s="104"/>
      <c r="H3" s="1"/>
    </row>
    <row r="4" spans="1:8" ht="15" customHeight="1" x14ac:dyDescent="0.25">
      <c r="A4" s="1"/>
      <c r="B4" s="104"/>
      <c r="C4" s="104"/>
      <c r="D4" s="104"/>
      <c r="E4" s="104"/>
      <c r="F4" s="104"/>
      <c r="G4" s="10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8"/>
      <c r="H8" s="1"/>
    </row>
    <row r="9" spans="1:8" x14ac:dyDescent="0.25">
      <c r="A9" s="1"/>
      <c r="B9" s="82" t="s">
        <v>180</v>
      </c>
      <c r="C9" s="83"/>
      <c r="D9" s="83"/>
      <c r="E9" s="83"/>
      <c r="F9" s="84"/>
      <c r="G9" s="28">
        <v>8.2852871714842319E-3</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40" t="s">
        <v>202</v>
      </c>
      <c r="C12" s="140"/>
      <c r="D12" s="140"/>
      <c r="E12" s="140"/>
      <c r="F12" s="140"/>
      <c r="G12" s="140"/>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d9t8l8uBOjbgmP5Ad6pEMS6N4IFwVcDzIAYS2X6k3WY1hr8L/UygNZYfRSiskh29jNFMcF39Qv/nu6KNik7pNw==" saltValue="o+nX6UG58vDvGihMb2W6/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2022-12-01T09:31:02Z</dcterms:modified>
</cp:coreProperties>
</file>