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der Vandværk a.m.b.a. (V14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4" i="37" l="1"/>
  <c r="C14" i="37"/>
  <c r="C15" i="19"/>
  <c r="E14" i="11" l="1"/>
  <c r="E13" i="11"/>
  <c r="E12" i="11"/>
  <c r="E11" i="11"/>
  <c r="E15" i="11" l="1"/>
  <c r="E16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7" i="11" l="1"/>
  <c r="C10" i="37" s="1"/>
  <c r="C15" i="37" s="1"/>
  <c r="C10" i="2" s="1"/>
  <c r="G17" i="11"/>
  <c r="E11" i="21" l="1"/>
  <c r="C11" i="21"/>
  <c r="E11" i="29"/>
  <c r="C11" i="29"/>
  <c r="C16" i="1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7" i="11"/>
  <c r="E10" i="37" s="1"/>
  <c r="E15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<sst xmlns="http://schemas.openxmlformats.org/spreadsheetml/2006/main" count="614" uniqueCount="253">
  <si>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</si>
  <si>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</si>
  <si>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</si>
  <si>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</si>
  <si>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</si>
  <si>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</si>
  <si>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</si>
  <si>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</si>
  <si>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</si>
  <si>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</si>
  <si>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</si>
  <si>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</si>
  <si>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</si>
  <si>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</si>
  <si>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</si>
  <si>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</si>
  <si>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</si>
  <si>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</si>
  <si>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</si>
  <si>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</si>
  <si>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</si>
  <si>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</si>
  <si>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</si>
  <si>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</si>
  <si>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</si>
  <si>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</si>
  <si>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</si>
  <si>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</si>
  <si>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</si>
  <si>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</si>
  <si>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</si>
  <si>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</si>
  <si>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</si>
  <si>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</si>
  <si>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</si>
  <si>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</si>
  <si>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</si>
  <si>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</si>
  <si>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</si>
  <si>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</si>
  <si>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</si>
  <si>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</si>
  <si>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</si>
  <si>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</si>
  <si>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</si>
  <si>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</si>
  <si>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</si>
  <si>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</si>
  <si>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</si>
  <si>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</si>
  <si>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</si>
  <si>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</si>
  <si>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</si>
  <si>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</si>
  <si>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</si>
  <si>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</si>
  <si>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</si>
  <si>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</si>
  <si>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</si>
  <si>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</si>
  <si>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</si>
  <si>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</si>
  <si>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</si>
  <si>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</si>
  <si>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</si>
  <si>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</si>
  <si>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</si>
  <si>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</si>
  <si>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</si>
  <si>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</si>
  <si>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</si>
  <si>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</si>
  <si>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</si>
  <si>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</si>
  <si>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</si>
  <si>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</si>
  <si>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</si>
  <si>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</si>
  <si>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</si>
  <si>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</si>
  <si>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</si>
  <si>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</si>
  <si>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</si>
  <si>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</si>
  <si>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</si>
  <si>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</si>
  <si>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</si>
  <si>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</si>
  <si>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</si>
  <si>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</si>
  <si>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</si>
  <si>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</si>
  <si>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</si>
  <si>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</si>
  <si>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</si>
  <si>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</si>
  <si>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</si>
  <si>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</si>
  <si>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</si>
  <si>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</si>
  <si>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</si>
  <si>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</si>
  <si>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</si>
  <si>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</si>
  <si>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</si>
  <si>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</si>
  <si>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</si>
  <si>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</si>
  <si>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</si>
  <si>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</si>
  <si>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</si>
  <si>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</si>
  <si>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</si>
  <si>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</si>
  <si>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</si>
  <si>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</si>
  <si>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</si>
  <si>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</si>
  <si>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</si>
  <si>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</si>
  <si>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</si>
  <si>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</si>
  <si>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</si>
  <si>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</si>
  <si>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</si>
  <si>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</si>
  <si>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</si>
  <si>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</si>
  <si>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</si>
  <si>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</si>
  <si>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</si>
  <si>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</si>
  <si>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</si>
  <si>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</si>
  <si>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</si>
  <si>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</si>
  <si>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</si>
  <si>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</si>
  <si>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</si>
  <si>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</si>
  <si>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</si>
  <si>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</si>
  <si>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</si>
  <si>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</si>
  <si>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</si>
  <si>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</si>
  <si>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</si>
  <si>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</si>
  <si>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</si>
  <si>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</si>
  <si>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</si>
  <si>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</si>
  <si>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</si>
  <si>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</si>
  <si>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</si>
  <si>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</si>
  <si>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</si>
  <si>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</si>
  <si>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</si>
  <si>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</si>
  <si>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</si>
  <si>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</si>
  <si>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</si>
  <si>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</si>
  <si>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</si>
  <si>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</si>
  <si>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</si>
  <si>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</si>
  <si>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</si>
  <si>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</si>
  <si>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</si>
  <si>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</si>
  <si>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</si>
  <si>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</si>
  <si>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</si>
  <si>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</si>
  <si>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</si>
  <si>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</si>
  <si>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</si>
  <si>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</si>
  <si>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</si>
  <si>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</si>
  <si>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</si>
  <si>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</si>
  <si>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</si>
  <si>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</si>
  <si>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</si>
  <si>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</si>
  <si>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</si>
  <si>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</si>
  <si>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</si>
  <si>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</si>
  <si>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</si>
  <si>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</si>
  <si>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</si>
  <si>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</si>
  <si>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</si>
  <si>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</si>
  <si>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</si>
  <si>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</si>
  <si>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</si>
  <si>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</si>
  <si>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</si>
  <si>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</si>
  <si>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</si>
  <si>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</si>
  <si>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</si>
  <si>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</si>
  <si>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</si>
  <si>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</si>
  <si>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</si>
  <si>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</si>
  <si>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</si>
  <si>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</si>
  <si>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</si>
  <si>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</si>
  <si>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</si>
  <si>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</si>
  <si>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</si>
  <si>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</si>
  <si>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</si>
  <si>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</si>
  <si>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</si>
  <si>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</si>
  <si>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</si>
  <si>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</si>
  <si>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</si>
  <si>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</si>
  <si>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</si>
  <si>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</si>
  <si>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</si>
  <si>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</si>
  <si>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</si>
  <si>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</si>
  <si>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</si>
  <si>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</si>
  <si>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</si>
  <si>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Afregningsmålere, elektroniske ≤ Ø 110mm (Qn 10)</t>
  </si>
  <si>
    <t>SRO anlæg</t>
  </si>
  <si>
    <t>Boring (inkl. etablering, forerør, filter og prøvepumpning)</t>
  </si>
  <si>
    <t>IT/ ledningsregistreringssystem QGIS</t>
  </si>
  <si>
    <t>Pumpestation (inkl. evt. hydrofor)/trykforøger, Konstruktioner</t>
  </si>
  <si>
    <t>Ventiler på Ø 50mm &lt; Ledningsnet ≤ Ø110 mm</t>
  </si>
  <si>
    <t>Ø 50mm &lt; Ledningsnet ≤ Ø110 mm</t>
  </si>
  <si>
    <t>Anlægsprojekter igangsat senest 1. marts 2016</t>
  </si>
  <si>
    <t>Udvidelse af forsyningsområdet</t>
  </si>
  <si>
    <t>Ingen engangstillæg</t>
  </si>
  <si>
    <t>Til indregning i den økonomiske ramme for 2020</t>
  </si>
  <si>
    <t>Tillæg/fradrag i den økonomiske ramme for 2020 i alt</t>
  </si>
  <si>
    <t>Køb af produkter eller ydelser fra vandselskaber reguleret af vandsektorloven (Neder Randlev Vandværk)</t>
  </si>
  <si>
    <t>Afgift for ledningsført vand (Neder Randlev Vandværk)</t>
  </si>
  <si>
    <t>Fusion med Neder Randlev Vandværk</t>
  </si>
  <si>
    <t>Overgang fra ulønnet til lønnet arbejdskraft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</si>
</sst>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192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56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22</v>
      </c>
      <c r="D14" s="55" t="s">
        <v>177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55</v>
      </c>
      <c r="D15" s="55" t="s">
        <v>133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57</v>
      </c>
      <c r="D16" s="55" t="s">
        <v>134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224</v>
      </c>
      <c r="D17" s="55" t="s">
        <v>66</v>
      </c>
      <c r="E17" s="56"/>
      <c r="F17" s="56"/>
      <c r="G17" s="57"/>
      <c r="H17" s="1"/>
      <c r="I17" s="1"/>
    </row>
    <row r="18" spans="1:9" x14ac:dyDescent="0.25">
      <c r="A18" s="1"/>
      <c r="B18" s="1"/>
      <c r="C18" s="34" t="s">
        <v>196</v>
      </c>
      <c r="D18" s="64" t="s">
        <v>162</v>
      </c>
      <c r="E18" s="65"/>
      <c r="F18" s="65"/>
      <c r="G18" s="66"/>
      <c r="H18" s="1"/>
      <c r="I18" s="1"/>
    </row>
    <row r="19" spans="1:9" x14ac:dyDescent="0.25">
      <c r="A19" s="1"/>
      <c r="B19" s="1"/>
      <c r="C19" s="34" t="s">
        <v>197</v>
      </c>
      <c r="D19" s="64" t="s">
        <v>163</v>
      </c>
      <c r="E19" s="65"/>
      <c r="F19" s="65"/>
      <c r="G19" s="66"/>
      <c r="H19" s="1"/>
      <c r="I19" s="1"/>
    </row>
    <row r="20" spans="1:9" x14ac:dyDescent="0.25">
      <c r="A20" s="1"/>
      <c r="B20" s="1"/>
      <c r="C20" s="34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198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140</v>
      </c>
      <c r="D22" s="59" t="s">
        <v>161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225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58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199</v>
      </c>
      <c r="D25" s="59" t="s">
        <v>141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200</v>
      </c>
      <c r="D26" s="59" t="s">
        <v>142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201</v>
      </c>
      <c r="D27" s="59" t="s">
        <v>59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183</v>
      </c>
      <c r="D28" s="59" t="s">
        <v>60</v>
      </c>
      <c r="E28" s="60"/>
      <c r="F28" s="60"/>
      <c r="G28" s="61"/>
      <c r="H28" s="1"/>
      <c r="I28" s="1"/>
    </row>
    <row r="29" spans="1:9" x14ac:dyDescent="0.25">
      <c r="A29" s="1"/>
      <c r="B29" s="1"/>
      <c r="C29" s="6" t="s">
        <v>61</v>
      </c>
      <c r="D29" s="67" t="s">
        <v>11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62</v>
      </c>
      <c r="D30" s="70" t="s">
        <v>184</v>
      </c>
      <c r="E30" s="71"/>
      <c r="F30" s="71"/>
      <c r="G30" s="7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fgb+0XYvfSe5TGQkxOY52iFC0HAfQyCoHe11HkdUDsUq6F7BkcMkey9kXW0cRXmaPoXhODH92GtbbvBZaSCoQ==" saltValue="BVDG1SRyTEmPniwcerZQr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204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69</v>
      </c>
      <c r="C8" s="100"/>
      <c r="D8" s="101"/>
      <c r="E8" s="1"/>
      <c r="F8" s="1"/>
    </row>
    <row r="9" spans="1:6" ht="15" customHeight="1" x14ac:dyDescent="0.25">
      <c r="A9" s="1"/>
      <c r="B9" s="42" t="s">
        <v>48</v>
      </c>
      <c r="C9" s="11" t="s">
        <v>70</v>
      </c>
      <c r="D9" s="11"/>
      <c r="E9" s="1"/>
      <c r="F9" s="1"/>
    </row>
    <row r="10" spans="1:6" x14ac:dyDescent="0.25">
      <c r="A10" s="1"/>
      <c r="B10" s="51" t="s">
        <v>234</v>
      </c>
      <c r="C10" s="9">
        <v>5183410</v>
      </c>
      <c r="D10" s="14" t="s">
        <v>3</v>
      </c>
      <c r="E10" s="1"/>
      <c r="F10" s="1"/>
    </row>
    <row r="11" spans="1:6" x14ac:dyDescent="0.25">
      <c r="A11" s="1"/>
      <c r="B11" s="51" t="s">
        <v>235</v>
      </c>
      <c r="C11" s="9">
        <v>33677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3824.73</v>
      </c>
      <c r="D12" s="14" t="s">
        <v>3</v>
      </c>
      <c r="E12" s="1"/>
      <c r="F12" s="1"/>
    </row>
    <row r="13" spans="1:6" x14ac:dyDescent="0.25">
      <c r="A13" s="1"/>
      <c r="B13" s="54" t="s">
        <v>249</v>
      </c>
      <c r="C13" s="9">
        <v>17209</v>
      </c>
      <c r="D13" s="14" t="s">
        <v>3</v>
      </c>
      <c r="E13" s="1"/>
      <c r="F13" s="1"/>
    </row>
    <row r="14" spans="1:6" x14ac:dyDescent="0.25">
      <c r="A14" s="1"/>
      <c r="B14" s="54" t="s">
        <v>250</v>
      </c>
      <c r="C14" s="9">
        <v>13905</v>
      </c>
      <c r="D14" s="14" t="s">
        <v>3</v>
      </c>
      <c r="E14" s="1"/>
      <c r="F14" s="1"/>
    </row>
    <row r="15" spans="1:6" x14ac:dyDescent="0.25">
      <c r="A15" s="1"/>
      <c r="B15" s="49" t="s">
        <v>71</v>
      </c>
      <c r="C15" s="12">
        <f>SUM(C10:C14)</f>
        <v>5252025.7300000004</v>
      </c>
      <c r="D15" s="13" t="s">
        <v>3</v>
      </c>
      <c r="E15" s="1"/>
      <c r="F15" s="1"/>
    </row>
    <row r="16" spans="1:6" x14ac:dyDescent="0.25">
      <c r="A16" s="1"/>
      <c r="B16" s="49" t="s">
        <v>72</v>
      </c>
      <c r="C16" s="12">
        <f>C15*(1+'Fane 14. Nøgletal'!C12)^2</f>
        <v>5460993.8024275564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n3rNk7/pmwmvJ8PgjDra4oxeDqr3uAd8TW95tbhdkca/6bm8XipUPT8Ud1zYQMKbpQfPajGCZeEmwr/CgOAqnA==" saltValue="XrQGMCe/i/NlT2+ULG9HZ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205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9" t="s">
        <v>52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50</v>
      </c>
      <c r="C7" s="103"/>
      <c r="D7" s="104"/>
      <c r="E7" s="9">
        <v>-957503.33166666667</v>
      </c>
      <c r="F7" s="14" t="s">
        <v>3</v>
      </c>
      <c r="G7" s="1"/>
    </row>
    <row r="8" spans="1:7" ht="15" customHeight="1" x14ac:dyDescent="0.25">
      <c r="A8" s="1"/>
      <c r="B8" s="102" t="s">
        <v>51</v>
      </c>
      <c r="C8" s="103"/>
      <c r="D8" s="104"/>
      <c r="E8" s="9">
        <v>1916690.5540243015</v>
      </c>
      <c r="F8" s="14" t="s">
        <v>3</v>
      </c>
      <c r="G8" s="1"/>
    </row>
    <row r="9" spans="1:7" ht="15" customHeight="1" x14ac:dyDescent="0.25">
      <c r="A9" s="1"/>
      <c r="B9" s="110" t="s">
        <v>186</v>
      </c>
      <c r="C9" s="111"/>
      <c r="D9" s="112"/>
      <c r="E9" s="10">
        <f>SUM(E7:E8)</f>
        <v>959187.2223576348</v>
      </c>
      <c r="F9" s="17" t="s">
        <v>3</v>
      </c>
      <c r="G9" s="1"/>
    </row>
    <row r="10" spans="1:7" ht="15" customHeight="1" x14ac:dyDescent="0.25">
      <c r="A10" s="1"/>
      <c r="B10" s="49"/>
      <c r="C10" s="50"/>
      <c r="D10" s="50"/>
      <c r="E10" s="50"/>
      <c r="F10" s="22"/>
      <c r="G10" s="1"/>
    </row>
    <row r="11" spans="1:7" ht="28.5" customHeight="1" x14ac:dyDescent="0.25">
      <c r="A11" s="1"/>
      <c r="B11" s="78" t="s">
        <v>188</v>
      </c>
      <c r="C11" s="79"/>
      <c r="D11" s="79"/>
      <c r="E11" s="79"/>
      <c r="F11" s="8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165</v>
      </c>
      <c r="C14" s="100"/>
      <c r="D14" s="100"/>
      <c r="E14" s="100"/>
      <c r="F14" s="101"/>
      <c r="G14" s="1"/>
    </row>
    <row r="15" spans="1:7" x14ac:dyDescent="0.25">
      <c r="A15" s="1"/>
      <c r="B15" s="102" t="s">
        <v>166</v>
      </c>
      <c r="C15" s="103"/>
      <c r="D15" s="104"/>
      <c r="E15" s="9">
        <v>13155085.278314717</v>
      </c>
      <c r="F15" s="14" t="s">
        <v>3</v>
      </c>
      <c r="G15" s="1"/>
    </row>
    <row r="16" spans="1:7" x14ac:dyDescent="0.25">
      <c r="A16" s="1"/>
      <c r="B16" s="102" t="s">
        <v>167</v>
      </c>
      <c r="C16" s="103"/>
      <c r="D16" s="104"/>
      <c r="E16" s="9">
        <v>12867177</v>
      </c>
      <c r="F16" s="14" t="s">
        <v>3</v>
      </c>
      <c r="G16" s="1"/>
    </row>
    <row r="17" spans="1:7" x14ac:dyDescent="0.25">
      <c r="A17" s="1"/>
      <c r="B17" s="102" t="s">
        <v>49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10" t="s">
        <v>187</v>
      </c>
      <c r="C18" s="111"/>
      <c r="D18" s="112"/>
      <c r="E18" s="10">
        <f>E15-(E16-E17)</f>
        <v>287908.27831471711</v>
      </c>
      <c r="F18" s="17" t="s">
        <v>3</v>
      </c>
      <c r="G18" s="1"/>
    </row>
    <row r="19" spans="1:7" x14ac:dyDescent="0.25">
      <c r="A19" s="1"/>
      <c r="B19" s="49"/>
      <c r="C19" s="50"/>
      <c r="D19" s="50"/>
      <c r="E19" s="50"/>
      <c r="F19" s="22"/>
      <c r="G19" s="1"/>
    </row>
    <row r="20" spans="1:7" ht="30" customHeight="1" x14ac:dyDescent="0.25">
      <c r="A20" s="1"/>
      <c r="B20" s="78" t="s">
        <v>189</v>
      </c>
      <c r="C20" s="79"/>
      <c r="D20" s="79"/>
      <c r="E20" s="79"/>
      <c r="F20" s="8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9" t="s">
        <v>77</v>
      </c>
      <c r="C23" s="100"/>
      <c r="D23" s="100"/>
      <c r="E23" s="100"/>
      <c r="F23" s="101"/>
      <c r="G23" s="1"/>
    </row>
    <row r="24" spans="1:7" x14ac:dyDescent="0.25">
      <c r="A24" s="1"/>
      <c r="B24" s="102" t="s">
        <v>78</v>
      </c>
      <c r="C24" s="103"/>
      <c r="D24" s="104"/>
      <c r="E24" s="9">
        <v>14421735.608495696</v>
      </c>
      <c r="F24" s="14" t="s">
        <v>3</v>
      </c>
      <c r="G24" s="1"/>
    </row>
    <row r="25" spans="1:7" x14ac:dyDescent="0.25">
      <c r="A25" s="1"/>
      <c r="B25" s="102" t="s">
        <v>79</v>
      </c>
      <c r="C25" s="103"/>
      <c r="D25" s="104"/>
      <c r="E25" s="9">
        <v>14790888</v>
      </c>
      <c r="F25" s="14" t="s">
        <v>3</v>
      </c>
      <c r="G25" s="1"/>
    </row>
    <row r="26" spans="1:7" x14ac:dyDescent="0.25">
      <c r="A26" s="1"/>
      <c r="B26" s="102" t="s">
        <v>49</v>
      </c>
      <c r="C26" s="103"/>
      <c r="D26" s="104"/>
      <c r="E26" s="9">
        <v>0</v>
      </c>
      <c r="F26" s="14" t="s">
        <v>3</v>
      </c>
      <c r="G26" s="1"/>
    </row>
    <row r="27" spans="1:7" x14ac:dyDescent="0.25">
      <c r="A27" s="1"/>
      <c r="B27" s="110" t="s">
        <v>187</v>
      </c>
      <c r="C27" s="111"/>
      <c r="D27" s="112"/>
      <c r="E27" s="10">
        <f>E24-(E25-E26)</f>
        <v>-369152.39150430448</v>
      </c>
      <c r="F27" s="17" t="s">
        <v>3</v>
      </c>
      <c r="G27" s="1"/>
    </row>
    <row r="28" spans="1:7" x14ac:dyDescent="0.25">
      <c r="A28" s="1"/>
      <c r="B28" s="49"/>
      <c r="C28" s="50"/>
      <c r="D28" s="50"/>
      <c r="E28" s="5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9" t="s">
        <v>247</v>
      </c>
      <c r="C31" s="100"/>
      <c r="D31" s="100"/>
      <c r="E31" s="100"/>
      <c r="F31" s="101"/>
      <c r="G31" s="1"/>
    </row>
    <row r="32" spans="1:7" x14ac:dyDescent="0.25">
      <c r="A32" s="1"/>
      <c r="B32" s="110" t="s">
        <v>248</v>
      </c>
      <c r="C32" s="111"/>
      <c r="D32" s="112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479593.6111788174</v>
      </c>
      <c r="F32" s="17" t="s">
        <v>3</v>
      </c>
      <c r="G32" s="1"/>
    </row>
    <row r="33" spans="1:7" x14ac:dyDescent="0.25">
      <c r="A33" s="1"/>
      <c r="B33" s="99"/>
      <c r="C33" s="100"/>
      <c r="D33" s="100"/>
      <c r="E33" s="100"/>
      <c r="F33" s="10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180</v>
      </c>
      <c r="C36" s="100"/>
      <c r="D36" s="100"/>
      <c r="E36" s="100"/>
      <c r="F36" s="101"/>
      <c r="G36" s="1"/>
    </row>
    <row r="37" spans="1:7" x14ac:dyDescent="0.25">
      <c r="A37" s="1"/>
      <c r="B37" s="113" t="s">
        <v>53</v>
      </c>
      <c r="C37" s="114"/>
      <c r="D37" s="115"/>
      <c r="E37" s="9">
        <f>IF(AND(E9&gt;0,E18&gt;0),IF(E18+E27&gt;=0,0,IF(E18+E27&lt;0,E18+E27,0)),IF(AND(E9&lt;0,E18&gt;0,ABS(E9)&lt;ABS(E18)),IF(E9+E18+E27&gt;=0,0,IF(E9+E18+E27&lt;0,E9+E18+E27,0)),IF(E27&gt;=0,0,E27)))</f>
        <v>-81244.11318958737</v>
      </c>
      <c r="F37" s="14" t="s">
        <v>3</v>
      </c>
      <c r="G37" s="1"/>
    </row>
    <row r="38" spans="1:7" x14ac:dyDescent="0.25">
      <c r="A38" s="1"/>
      <c r="B38" s="113" t="s">
        <v>185</v>
      </c>
      <c r="C38" s="114"/>
      <c r="D38" s="115"/>
      <c r="E38" s="9">
        <v>2</v>
      </c>
      <c r="F38" s="14" t="s">
        <v>27</v>
      </c>
      <c r="G38" s="1"/>
    </row>
    <row r="39" spans="1:7" ht="15" customHeight="1" x14ac:dyDescent="0.25">
      <c r="A39" s="1"/>
      <c r="B39" s="110" t="s">
        <v>227</v>
      </c>
      <c r="C39" s="111"/>
      <c r="D39" s="112"/>
      <c r="E39" s="10">
        <f>E37/E38</f>
        <v>-40622.056594793685</v>
      </c>
      <c r="F39" s="17" t="s">
        <v>3</v>
      </c>
      <c r="G39" s="1"/>
    </row>
    <row r="40" spans="1:7" x14ac:dyDescent="0.25">
      <c r="A40" s="1"/>
      <c r="B40" s="99"/>
      <c r="C40" s="100"/>
      <c r="D40" s="100"/>
      <c r="E40" s="100"/>
      <c r="F40" s="10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rNwbus3wAmCN+27y42SqPirdJjhNaOzc5fSQAgoApCRUxS+q0CWhoetnzJZz67DwsuTNQkpyZyK1ecaW0ii7w==" saltValue="MITIS1YFzKdVSYUWz4sEv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228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159</v>
      </c>
      <c r="C8" s="100"/>
      <c r="D8" s="100"/>
      <c r="E8" s="100"/>
      <c r="F8" s="100"/>
      <c r="G8" s="1"/>
    </row>
    <row r="9" spans="1:7" ht="29.25" customHeight="1" x14ac:dyDescent="0.25">
      <c r="A9" s="1"/>
      <c r="B9" s="90" t="s">
        <v>164</v>
      </c>
      <c r="C9" s="91"/>
      <c r="D9" s="92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9" t="s">
        <v>175</v>
      </c>
      <c r="C10" s="50"/>
      <c r="D10" s="5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ILDrT2269otMiEjD2tauWhsS7/FJfoOvzONHu/v8bJQkJ8Fvrd+4DcKgjcqz7clED7GoVVQQFk19XyxqFJZhg==" saltValue="3uPFMx2K1TmbfD8zAlHda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229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230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4"/>
      <c r="I9" s="1"/>
    </row>
    <row r="10" spans="1:9" ht="39" x14ac:dyDescent="0.25">
      <c r="A10" s="1"/>
      <c r="B10" s="38" t="s">
        <v>237</v>
      </c>
      <c r="C10" s="39">
        <v>10</v>
      </c>
      <c r="D10" s="9">
        <v>1589699</v>
      </c>
      <c r="E10" s="9">
        <f>IFERROR(D10/C10,0)</f>
        <v>158969.9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38" t="s">
        <v>238</v>
      </c>
      <c r="C11" s="39">
        <v>10</v>
      </c>
      <c r="D11" s="9">
        <v>51610</v>
      </c>
      <c r="E11" s="9">
        <f t="shared" ref="E11:E14" si="0">IFERROR(D11/C11,0)</f>
        <v>5161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38" t="s">
        <v>239</v>
      </c>
      <c r="C12" s="39">
        <v>30</v>
      </c>
      <c r="D12" s="9">
        <v>409953</v>
      </c>
      <c r="E12" s="9">
        <f t="shared" si="0"/>
        <v>13665.1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38" t="s">
        <v>240</v>
      </c>
      <c r="C13" s="39">
        <v>5</v>
      </c>
      <c r="D13" s="9">
        <v>464537</v>
      </c>
      <c r="E13" s="9">
        <f t="shared" si="0"/>
        <v>92907.4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38" t="s">
        <v>241</v>
      </c>
      <c r="C14" s="39">
        <v>50</v>
      </c>
      <c r="D14" s="9">
        <v>804863</v>
      </c>
      <c r="E14" s="9">
        <f t="shared" si="0"/>
        <v>16097.26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38" t="s">
        <v>242</v>
      </c>
      <c r="C15" s="39">
        <v>75</v>
      </c>
      <c r="D15" s="9">
        <v>213154</v>
      </c>
      <c r="E15" s="9">
        <f t="shared" ref="E15:E16" si="1">IFERROR(D15/C15,0)</f>
        <v>2842.0533333333333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38" t="s">
        <v>243</v>
      </c>
      <c r="C16" s="39">
        <v>75</v>
      </c>
      <c r="D16" s="9">
        <v>1715749</v>
      </c>
      <c r="E16" s="9">
        <f t="shared" si="1"/>
        <v>22876.653333333332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99" t="s">
        <v>231</v>
      </c>
      <c r="C17" s="100"/>
      <c r="D17" s="101"/>
      <c r="E17" s="12">
        <f>SUM(E10:E16)</f>
        <v>312519.3666666667</v>
      </c>
      <c r="F17" s="12">
        <f>SUM(F10:F16)</f>
        <v>0</v>
      </c>
      <c r="G17" s="12">
        <f>SUM(G10:G16)</f>
        <v>0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m740ROhzS+WRHr76Cb81Tj57a6PPz7XMz8YeueEKFJIJSB26mkYOb8Iaph4zXxGg9ZpbqnIbUJDGpClSdRLDnA==" saltValue="EuGE0R7Q6asIeZJ27hHkD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137</v>
      </c>
      <c r="C8" s="50"/>
      <c r="D8" s="50"/>
      <c r="E8" s="50"/>
      <c r="F8" s="22"/>
      <c r="G8" s="1"/>
    </row>
    <row r="9" spans="1:7" ht="17.25" customHeight="1" x14ac:dyDescent="0.2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25">
      <c r="A10" s="1"/>
      <c r="B10" s="27" t="s">
        <v>244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312519.3666666667</v>
      </c>
      <c r="F10" s="14" t="s">
        <v>3</v>
      </c>
      <c r="G10" s="1"/>
    </row>
    <row r="11" spans="1:7" x14ac:dyDescent="0.25">
      <c r="A11" s="1"/>
      <c r="B11" s="40" t="s">
        <v>245</v>
      </c>
      <c r="C11" s="24">
        <v>0</v>
      </c>
      <c r="D11" s="14" t="s">
        <v>3</v>
      </c>
      <c r="E11" s="9">
        <v>23228</v>
      </c>
      <c r="F11" s="14" t="s">
        <v>3</v>
      </c>
      <c r="G11" s="1"/>
    </row>
    <row r="12" spans="1:7" x14ac:dyDescent="0.25">
      <c r="A12" s="1"/>
      <c r="B12" s="40" t="s">
        <v>251</v>
      </c>
      <c r="C12" s="24">
        <v>31632</v>
      </c>
      <c r="D12" s="14" t="s">
        <v>3</v>
      </c>
      <c r="E12" s="9">
        <v>13179</v>
      </c>
      <c r="F12" s="14" t="s">
        <v>3</v>
      </c>
      <c r="G12" s="1"/>
    </row>
    <row r="13" spans="1:7" x14ac:dyDescent="0.25">
      <c r="A13" s="1"/>
      <c r="B13" s="40" t="s">
        <v>252</v>
      </c>
      <c r="C13" s="24">
        <v>21665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9" t="s">
        <v>63</v>
      </c>
      <c r="C14" s="12">
        <f>SUM(C10:C13)</f>
        <v>53297</v>
      </c>
      <c r="D14" s="13" t="s">
        <v>3</v>
      </c>
      <c r="E14" s="12">
        <f>SUM(E10:E13)</f>
        <v>348926.3666666667</v>
      </c>
      <c r="F14" s="13" t="s">
        <v>3</v>
      </c>
      <c r="G14" s="1"/>
    </row>
    <row r="15" spans="1:7" x14ac:dyDescent="0.25">
      <c r="A15" s="1"/>
      <c r="B15" s="49" t="s">
        <v>74</v>
      </c>
      <c r="C15" s="12">
        <f>C14*(1+'Fane 14. Nøgletal'!C12)</f>
        <v>54346.950900000003</v>
      </c>
      <c r="D15" s="13" t="s">
        <v>3</v>
      </c>
      <c r="E15" s="12">
        <f>E14*(1+'Fane 14. Nøgletal'!C12)</f>
        <v>355800.21609000006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34KEm4C0ltIcROiqhJy67gyPER+yC57fGvEKbTHE7XQTD6TwzdVHPLH+1+fZIbXGUyRjPtFtUybH1YehLRrXw==" saltValue="tDQ4rnZqiZC3YIma/6w4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168</v>
      </c>
      <c r="C8" s="100"/>
      <c r="D8" s="100"/>
      <c r="E8" s="100"/>
      <c r="F8" s="101"/>
      <c r="G8" s="1"/>
    </row>
    <row r="9" spans="1:7" x14ac:dyDescent="0.2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25">
      <c r="A10" s="1"/>
      <c r="B10" s="27" t="s">
        <v>246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169</v>
      </c>
      <c r="C16" s="100"/>
      <c r="D16" s="100"/>
      <c r="E16" s="100"/>
      <c r="F16" s="101"/>
      <c r="G16" s="1"/>
    </row>
    <row r="17" spans="1:7" x14ac:dyDescent="0.25">
      <c r="A17" s="1"/>
      <c r="B17" s="45" t="s">
        <v>24</v>
      </c>
      <c r="C17" s="45" t="s">
        <v>16</v>
      </c>
      <c r="D17" s="46"/>
      <c r="E17" s="45" t="s">
        <v>47</v>
      </c>
      <c r="F17" s="44"/>
      <c r="G17" s="1"/>
    </row>
    <row r="18" spans="1:7" x14ac:dyDescent="0.25">
      <c r="A18" s="1"/>
      <c r="B18" s="27" t="s">
        <v>246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170</v>
      </c>
      <c r="C24" s="100"/>
      <c r="D24" s="100"/>
      <c r="E24" s="100"/>
      <c r="F24" s="101"/>
      <c r="G24" s="1"/>
    </row>
    <row r="25" spans="1:7" x14ac:dyDescent="0.25">
      <c r="A25" s="1"/>
      <c r="B25" s="45" t="s">
        <v>24</v>
      </c>
      <c r="C25" s="45" t="s">
        <v>16</v>
      </c>
      <c r="D25" s="46"/>
      <c r="E25" s="45" t="s">
        <v>47</v>
      </c>
      <c r="F25" s="44"/>
      <c r="G25" s="1"/>
    </row>
    <row r="26" spans="1:7" x14ac:dyDescent="0.25">
      <c r="A26" s="1"/>
      <c r="B26" s="27" t="s">
        <v>246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171</v>
      </c>
      <c r="C32" s="100"/>
      <c r="D32" s="100"/>
      <c r="E32" s="100"/>
      <c r="F32" s="101"/>
      <c r="G32" s="1"/>
    </row>
    <row r="33" spans="1:7" x14ac:dyDescent="0.25">
      <c r="A33" s="1"/>
      <c r="B33" s="45" t="s">
        <v>24</v>
      </c>
      <c r="C33" s="45" t="s">
        <v>16</v>
      </c>
      <c r="D33" s="46"/>
      <c r="E33" s="45" t="s">
        <v>47</v>
      </c>
      <c r="F33" s="44"/>
      <c r="G33" s="1"/>
    </row>
    <row r="34" spans="1:7" x14ac:dyDescent="0.25">
      <c r="A34" s="1"/>
      <c r="B34" s="27" t="s">
        <v>246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xVa3wh0T6NqwesboG9qPDgMSHc5TualHf/Y7EagZWNW3mTBFj9YIcpfZ8pPrV+0Fr6qgrPdWwp6Y6/EAuCNRg==" saltValue="hRN2lWnllxm2IPNi6qkPu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208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31</v>
      </c>
      <c r="C8" s="100"/>
      <c r="D8" s="100"/>
      <c r="E8" s="100"/>
      <c r="F8" s="101"/>
      <c r="G8" s="1"/>
    </row>
    <row r="9" spans="1:7" ht="15" customHeight="1" x14ac:dyDescent="0.25">
      <c r="A9" s="1"/>
      <c r="B9" s="43" t="s">
        <v>32</v>
      </c>
      <c r="C9" s="90" t="s">
        <v>16</v>
      </c>
      <c r="D9" s="92"/>
      <c r="E9" s="90" t="s">
        <v>47</v>
      </c>
      <c r="F9" s="92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XBEinCWtD8sBgsf90oZJh51PA46TCafWiN4Rvu2JaRBt/KDW3LTTorpxPwa6R+dCgPs+PzDnQfeuLYflk5gcQ==" saltValue="pcgV7vHP9I2tbzimkT3+/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209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156</v>
      </c>
      <c r="C8" s="100"/>
      <c r="D8" s="100"/>
      <c r="E8" s="100"/>
      <c r="F8" s="101"/>
      <c r="G8" s="1"/>
    </row>
    <row r="9" spans="1:7" ht="15" customHeight="1" x14ac:dyDescent="0.25">
      <c r="A9" s="1"/>
      <c r="B9" s="43" t="s">
        <v>25</v>
      </c>
      <c r="C9" s="43" t="s">
        <v>16</v>
      </c>
      <c r="D9" s="44"/>
      <c r="E9" s="43" t="s">
        <v>47</v>
      </c>
      <c r="F9" s="44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9" t="s">
        <v>157</v>
      </c>
      <c r="C15" s="100"/>
      <c r="D15" s="100"/>
      <c r="E15" s="100"/>
      <c r="F15" s="101"/>
      <c r="G15" s="1"/>
    </row>
    <row r="16" spans="1:7" ht="26.25" x14ac:dyDescent="0.25">
      <c r="A16" s="1"/>
      <c r="B16" s="43" t="s">
        <v>25</v>
      </c>
      <c r="C16" s="43" t="s">
        <v>16</v>
      </c>
      <c r="D16" s="44"/>
      <c r="E16" s="43" t="s">
        <v>47</v>
      </c>
      <c r="F16" s="44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9" t="s">
        <v>155</v>
      </c>
      <c r="C22" s="100"/>
      <c r="D22" s="100"/>
      <c r="E22" s="100"/>
      <c r="F22" s="101"/>
      <c r="G22" s="1"/>
    </row>
    <row r="23" spans="1:7" ht="26.25" x14ac:dyDescent="0.25">
      <c r="A23" s="1"/>
      <c r="B23" s="43" t="s">
        <v>25</v>
      </c>
      <c r="C23" s="43" t="s">
        <v>16</v>
      </c>
      <c r="D23" s="44"/>
      <c r="E23" s="43" t="s">
        <v>47</v>
      </c>
      <c r="F23" s="44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158</v>
      </c>
      <c r="C29" s="100"/>
      <c r="D29" s="100"/>
      <c r="E29" s="100"/>
      <c r="F29" s="101"/>
      <c r="G29" s="1"/>
    </row>
    <row r="30" spans="1:7" ht="26.25" x14ac:dyDescent="0.25">
      <c r="A30" s="1"/>
      <c r="B30" s="43" t="s">
        <v>25</v>
      </c>
      <c r="C30" s="43" t="s">
        <v>16</v>
      </c>
      <c r="D30" s="44"/>
      <c r="E30" s="43" t="s">
        <v>47</v>
      </c>
      <c r="F30" s="44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wO9qiWyRiVmTezT2VSHQdtnwGFOsfKb3EP+aov3fC2D8ts4/EtRT6d7T3nwS4xwBKjTBjPm2QV6dIVBdgf/JA==" saltValue="ago4ueCD18O6bJGjnJ6gM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18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16769039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80</v>
      </c>
      <c r="C11" s="103"/>
      <c r="D11" s="103"/>
      <c r="E11" s="103"/>
      <c r="F11" s="104"/>
      <c r="G11" s="9">
        <v>-15071410.378306881</v>
      </c>
      <c r="H11" s="14" t="s">
        <v>3</v>
      </c>
      <c r="I11" s="1"/>
    </row>
    <row r="12" spans="1:9" x14ac:dyDescent="0.25">
      <c r="A12" s="1"/>
      <c r="B12" s="116" t="s">
        <v>15</v>
      </c>
      <c r="C12" s="117"/>
      <c r="D12" s="117"/>
      <c r="E12" s="117"/>
      <c r="F12" s="118"/>
      <c r="G12" s="19">
        <f>(G9+G10)+G11</f>
        <v>1697628.6216931194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27</v>
      </c>
      <c r="I13" s="1"/>
    </row>
    <row r="14" spans="1:9" x14ac:dyDescent="0.25">
      <c r="A14" s="1"/>
      <c r="B14" s="99" t="s">
        <v>136</v>
      </c>
      <c r="C14" s="100"/>
      <c r="D14" s="100"/>
      <c r="E14" s="100"/>
      <c r="F14" s="101"/>
      <c r="G14" s="12">
        <f>IF(G13 = 0,0,-G12/G13)</f>
        <v>-1697628.6216931194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uWQj7dYVzU914t/+R6jwa+Z/SE5drHmpbm+86bQvq5rNEYTE2RUYwf95bKsDl5GWpd9hfb9HnOlGWlsZ6DQNw==" saltValue="jpoF7onREuBGOVdRHZYkV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54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9" t="s">
        <v>21</v>
      </c>
      <c r="C8" s="22"/>
      <c r="D8" s="1"/>
    </row>
    <row r="9" spans="1:4" x14ac:dyDescent="0.25">
      <c r="A9" s="1"/>
      <c r="B9" s="51" t="s">
        <v>211</v>
      </c>
      <c r="C9" s="28">
        <v>1.2699999999999999E-2</v>
      </c>
      <c r="D9" s="1"/>
    </row>
    <row r="10" spans="1:4" x14ac:dyDescent="0.25">
      <c r="A10" s="1"/>
      <c r="B10" s="51" t="s">
        <v>30</v>
      </c>
      <c r="C10" s="28">
        <v>1.7500000000000002E-2</v>
      </c>
      <c r="D10" s="1"/>
    </row>
    <row r="11" spans="1:4" x14ac:dyDescent="0.25">
      <c r="A11" s="1"/>
      <c r="B11" s="51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9"/>
      <c r="C13" s="10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9" t="s">
        <v>181</v>
      </c>
      <c r="C16" s="22"/>
      <c r="D16" s="1"/>
    </row>
    <row r="17" spans="1:4" x14ac:dyDescent="0.25">
      <c r="A17" s="1"/>
      <c r="B17" s="51" t="s">
        <v>213</v>
      </c>
      <c r="C17" s="25">
        <v>9.1000000000000004E-3</v>
      </c>
      <c r="D17" s="1"/>
    </row>
    <row r="18" spans="1:4" x14ac:dyDescent="0.25">
      <c r="A18" s="1"/>
      <c r="B18" s="51" t="s">
        <v>214</v>
      </c>
      <c r="C18" s="25">
        <v>1.77E-2</v>
      </c>
      <c r="D18" s="1"/>
    </row>
    <row r="19" spans="1:4" x14ac:dyDescent="0.25">
      <c r="A19" s="1"/>
      <c r="B19" s="51" t="s">
        <v>215</v>
      </c>
      <c r="C19" s="25">
        <v>8.6999999999999994E-3</v>
      </c>
      <c r="D19" s="1"/>
    </row>
    <row r="20" spans="1:4" x14ac:dyDescent="0.25">
      <c r="A20" s="1"/>
      <c r="B20" s="51" t="s">
        <v>216</v>
      </c>
      <c r="C20" s="37">
        <v>2.8400000000000002E-2</v>
      </c>
      <c r="D20" s="1"/>
    </row>
    <row r="21" spans="1:4" x14ac:dyDescent="0.25">
      <c r="A21" s="1"/>
      <c r="B21" s="4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9" t="s">
        <v>182</v>
      </c>
      <c r="C24" s="22"/>
      <c r="D24" s="1"/>
    </row>
    <row r="25" spans="1:4" x14ac:dyDescent="0.25">
      <c r="A25" s="1"/>
      <c r="B25" s="51" t="s">
        <v>217</v>
      </c>
      <c r="C25" s="28">
        <v>0.02</v>
      </c>
      <c r="D25" s="1"/>
    </row>
    <row r="26" spans="1:4" x14ac:dyDescent="0.25">
      <c r="A26" s="1"/>
      <c r="B26" s="4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6fI5hRyRC23S1+FbL1y3Wekh1BUQDR3tgHNytbw896ibq5nZAyMITpXy4lqMjc0wGKBTuhF1sjA5ysHTeaAjdQ==" saltValue="g5lIjgA2lBZJZNMHRIOot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65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20</v>
      </c>
      <c r="C8" s="50"/>
      <c r="D8" s="22"/>
      <c r="E8" s="1"/>
    </row>
    <row r="9" spans="1:5" x14ac:dyDescent="0.25">
      <c r="A9" s="1"/>
      <c r="B9" s="48" t="s">
        <v>34</v>
      </c>
      <c r="C9" s="7">
        <f>'Fane 3. Omkostninger i ØR2019'!E22</f>
        <v>10879241.658201521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tillæg'!C15</f>
        <v>54346.950900000003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tillæg'!E15</f>
        <v>355800.21609000006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191939.08321330868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-150292.92953225886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-101515.13442610155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-64896.622049510996</v>
      </c>
      <c r="D19" s="8" t="s">
        <v>3</v>
      </c>
      <c r="E19" s="1"/>
    </row>
    <row r="20" spans="1:5" ht="17.100000000000001" customHeight="1" x14ac:dyDescent="0.25">
      <c r="A20" s="1"/>
      <c r="B20" s="53" t="s">
        <v>28</v>
      </c>
      <c r="C20" s="10">
        <f>SUM(C9:C19)</f>
        <v>11164623.222396957</v>
      </c>
      <c r="D20" s="11" t="s">
        <v>3</v>
      </c>
      <c r="E20" s="1"/>
    </row>
    <row r="21" spans="1:5" ht="15" customHeight="1" x14ac:dyDescent="0.25">
      <c r="A21" s="1"/>
      <c r="B21" s="49" t="s">
        <v>17</v>
      </c>
      <c r="C21" s="50"/>
      <c r="D21" s="22"/>
      <c r="E21" s="1"/>
    </row>
    <row r="22" spans="1:5" ht="15" customHeight="1" x14ac:dyDescent="0.25">
      <c r="A22" s="1"/>
      <c r="B22" s="43" t="s">
        <v>17</v>
      </c>
      <c r="C22" s="10">
        <f>'Fane 6. Ikke-påvirkelige omk.'!C16</f>
        <v>5460993.8024275564</v>
      </c>
      <c r="D22" s="11" t="s">
        <v>3</v>
      </c>
      <c r="E22" s="1"/>
    </row>
    <row r="23" spans="1:5" ht="15" customHeight="1" x14ac:dyDescent="0.25">
      <c r="A23" s="1"/>
      <c r="B23" s="49" t="s">
        <v>142</v>
      </c>
      <c r="C23" s="5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3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9" t="s">
        <v>11</v>
      </c>
      <c r="C27" s="50"/>
      <c r="D27" s="22"/>
      <c r="E27" s="1"/>
    </row>
    <row r="28" spans="1:5" ht="15" customHeight="1" x14ac:dyDescent="0.25">
      <c r="A28" s="1"/>
      <c r="B28" s="43" t="s">
        <v>19</v>
      </c>
      <c r="C28" s="10">
        <f>'Fane 13. Hist. over-underdæk.'!G14</f>
        <v>-1697628.6216931194</v>
      </c>
      <c r="D28" s="11" t="s">
        <v>3</v>
      </c>
      <c r="E28" s="1"/>
    </row>
    <row r="29" spans="1:5" ht="15" customHeight="1" x14ac:dyDescent="0.25">
      <c r="A29" s="1"/>
      <c r="B29" s="49" t="s">
        <v>53</v>
      </c>
      <c r="C29" s="50"/>
      <c r="D29" s="22"/>
      <c r="E29" s="1"/>
    </row>
    <row r="30" spans="1:5" x14ac:dyDescent="0.25">
      <c r="A30" s="1"/>
      <c r="B30" s="43" t="s">
        <v>218</v>
      </c>
      <c r="C30" s="10">
        <f>'Fane 7. Kontrol af ØR2018'!E32</f>
        <v>479593.6111788174</v>
      </c>
      <c r="D30" s="11" t="s">
        <v>3</v>
      </c>
      <c r="E30" s="1"/>
    </row>
    <row r="31" spans="1:5" x14ac:dyDescent="0.25">
      <c r="A31" s="1"/>
      <c r="B31" s="49" t="s">
        <v>225</v>
      </c>
      <c r="C31" s="50"/>
      <c r="D31" s="22"/>
      <c r="E31" s="1"/>
    </row>
    <row r="32" spans="1:5" x14ac:dyDescent="0.25">
      <c r="A32" s="1"/>
      <c r="B32" s="43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9" t="s">
        <v>35</v>
      </c>
      <c r="C33" s="33">
        <f>SUM(C20,C22,C26,C28,C30,C32)</f>
        <v>15407582.014310211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fvZUarpgwPdrTgNA1es34MekDqTOc9WUz7CCJIbHcRGCyL52PGMTUoyR9PM0N58L3EQuS4XAJEznHpTfWjRvw==" saltValue="PadY3jvKPDLPMzU8gDIRm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85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20</v>
      </c>
      <c r="C8" s="50"/>
      <c r="D8" s="22"/>
      <c r="E8" s="1"/>
    </row>
    <row r="9" spans="1:5" ht="15" customHeight="1" x14ac:dyDescent="0.25">
      <c r="A9" s="1"/>
      <c r="B9" s="48" t="s">
        <v>36</v>
      </c>
      <c r="C9" s="7">
        <f>'Fane 2.1. Økonomisk ramme 2020'!C20</f>
        <v>11164623.222396957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41" t="s">
        <v>26</v>
      </c>
      <c r="C12" s="9">
        <f>SUM(C9:C11)*'Fane 14. Nøgletal'!C12</f>
        <v>219943.07748122004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-149026.30029496667</v>
      </c>
      <c r="D13" s="8" t="s">
        <v>3</v>
      </c>
      <c r="E13" s="1"/>
    </row>
    <row r="14" spans="1:5" ht="15" customHeight="1" x14ac:dyDescent="0.25">
      <c r="A14" s="1"/>
      <c r="B14" s="41" t="s">
        <v>38</v>
      </c>
      <c r="C14" s="9">
        <f>-'Fane 4.1. Gen. krav - drift'!G32</f>
        <v>-101444.68292280984</v>
      </c>
      <c r="D14" s="8" t="s">
        <v>3</v>
      </c>
      <c r="E14" s="1"/>
    </row>
    <row r="15" spans="1:5" ht="15" customHeight="1" x14ac:dyDescent="0.25">
      <c r="A15" s="1"/>
      <c r="B15" s="41" t="s">
        <v>39</v>
      </c>
      <c r="C15" s="9">
        <f>-'Fane 4.2. Gen. krav - anlæg'!G31</f>
        <v>-190349.24627042265</v>
      </c>
      <c r="D15" s="8" t="s">
        <v>3</v>
      </c>
      <c r="E15" s="1"/>
    </row>
    <row r="16" spans="1:5" ht="15" customHeight="1" x14ac:dyDescent="0.25">
      <c r="A16" s="1"/>
      <c r="B16" s="42" t="s">
        <v>28</v>
      </c>
      <c r="C16" s="10">
        <f>SUM(C9:C15)</f>
        <v>10943746.070389977</v>
      </c>
      <c r="D16" s="11" t="s">
        <v>3</v>
      </c>
      <c r="E16" s="1"/>
    </row>
    <row r="17" spans="1:5" x14ac:dyDescent="0.25">
      <c r="A17" s="1"/>
      <c r="B17" s="49" t="s">
        <v>17</v>
      </c>
      <c r="C17" s="50"/>
      <c r="D17" s="22"/>
      <c r="E17" s="1"/>
    </row>
    <row r="18" spans="1:5" ht="15" customHeight="1" x14ac:dyDescent="0.25">
      <c r="A18" s="1"/>
      <c r="B18" s="43" t="s">
        <v>17</v>
      </c>
      <c r="C18" s="10">
        <f>'Fane 6. Ikke-påvirkelige omk.'!C16*(1+'Fane 14. Nøgletal'!C12)</f>
        <v>5568575.3803353794</v>
      </c>
      <c r="D18" s="11" t="s">
        <v>3</v>
      </c>
      <c r="E18" s="1"/>
    </row>
    <row r="19" spans="1:5" ht="15" customHeight="1" x14ac:dyDescent="0.25">
      <c r="A19" s="1"/>
      <c r="B19" s="49" t="s">
        <v>142</v>
      </c>
      <c r="C19" s="5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9" t="s">
        <v>160</v>
      </c>
      <c r="C23" s="50"/>
      <c r="D23" s="22"/>
      <c r="E23" s="1"/>
    </row>
    <row r="24" spans="1:5" ht="15" customHeight="1" x14ac:dyDescent="0.25">
      <c r="A24" s="1"/>
      <c r="B24" s="43" t="s">
        <v>195</v>
      </c>
      <c r="C24" s="10">
        <f>'Fane 7. Kontrol af ØR2018'!E39</f>
        <v>-40622.056594793685</v>
      </c>
      <c r="D24" s="11" t="s">
        <v>3</v>
      </c>
      <c r="E24" s="1"/>
    </row>
    <row r="25" spans="1:5" x14ac:dyDescent="0.25">
      <c r="A25" s="1"/>
      <c r="B25" s="49" t="s">
        <v>44</v>
      </c>
      <c r="C25" s="12">
        <f>SUM(C16,C18,C22,C24)</f>
        <v>16471699.394130562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KnqpLAYWTGCJM97UVVEp5PbE6VI4/xB7U4J538tpqUH1wwLo5QU3RP7RohHMKwi9wKk1yTo3AUjWf+fXbuHwA==" saltValue="/RRtvuneBVc8NmVvXzRo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193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20</v>
      </c>
      <c r="C7" s="50"/>
      <c r="D7" s="22"/>
      <c r="E7" s="1"/>
    </row>
    <row r="8" spans="1:5" ht="15" customHeight="1" x14ac:dyDescent="0.25">
      <c r="A8" s="1"/>
      <c r="B8" s="48" t="s">
        <v>36</v>
      </c>
      <c r="C8" s="7">
        <f>'Fane 2.2. Økonomisk ramme 2021'!C16</f>
        <v>10943746.070389977</v>
      </c>
      <c r="D8" s="8" t="s">
        <v>3</v>
      </c>
      <c r="E8" s="1"/>
    </row>
    <row r="9" spans="1:5" ht="15" customHeight="1" x14ac:dyDescent="0.25">
      <c r="A9" s="1"/>
      <c r="B9" s="48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41" t="s">
        <v>26</v>
      </c>
      <c r="C11" s="9">
        <f>SUM(C8:C10)*'Fane 14. Nøgletal'!C12</f>
        <v>215591.79758668251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-146078.01407629193</v>
      </c>
      <c r="D12" s="8" t="s">
        <v>3</v>
      </c>
      <c r="E12" s="1"/>
    </row>
    <row r="13" spans="1:5" ht="15" customHeight="1" x14ac:dyDescent="0.25">
      <c r="A13" s="1"/>
      <c r="B13" s="41" t="s">
        <v>38</v>
      </c>
      <c r="C13" s="9">
        <f>-'Fane 4.1. Gen. krav - drift'!G38</f>
        <v>-101374.28031286142</v>
      </c>
      <c r="D13" s="8" t="s">
        <v>3</v>
      </c>
      <c r="E13" s="1"/>
    </row>
    <row r="14" spans="1:5" ht="15" customHeight="1" x14ac:dyDescent="0.25">
      <c r="A14" s="1"/>
      <c r="B14" s="41" t="s">
        <v>39</v>
      </c>
      <c r="C14" s="9">
        <f>-'Fane 4.2. Gen. krav - anlæg'!G37</f>
        <v>-188586.71123156662</v>
      </c>
      <c r="D14" s="8" t="s">
        <v>3</v>
      </c>
      <c r="E14" s="1"/>
    </row>
    <row r="15" spans="1:5" x14ac:dyDescent="0.25">
      <c r="A15" s="1"/>
      <c r="B15" s="42" t="s">
        <v>28</v>
      </c>
      <c r="C15" s="10">
        <f>SUM(C8:C14)</f>
        <v>10723298.862355938</v>
      </c>
      <c r="D15" s="11" t="s">
        <v>3</v>
      </c>
      <c r="E15" s="1"/>
    </row>
    <row r="16" spans="1:5" x14ac:dyDescent="0.25">
      <c r="A16" s="1"/>
      <c r="B16" s="49" t="s">
        <v>17</v>
      </c>
      <c r="C16" s="50"/>
      <c r="D16" s="22"/>
      <c r="E16" s="1"/>
    </row>
    <row r="17" spans="1:5" ht="15" customHeight="1" x14ac:dyDescent="0.25">
      <c r="A17" s="1"/>
      <c r="B17" s="43" t="s">
        <v>17</v>
      </c>
      <c r="C17" s="10">
        <f>'Fane 6. Ikke-påvirkelige omk.'!C16*(1+'Fane 14. Nøgletal'!C12)^2</f>
        <v>5678276.3153279861</v>
      </c>
      <c r="D17" s="11" t="s">
        <v>3</v>
      </c>
      <c r="E17" s="1"/>
    </row>
    <row r="18" spans="1:5" ht="15" customHeight="1" x14ac:dyDescent="0.25">
      <c r="A18" s="1"/>
      <c r="B18" s="49" t="s">
        <v>142</v>
      </c>
      <c r="C18" s="5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9" t="s">
        <v>160</v>
      </c>
      <c r="C22" s="50"/>
      <c r="D22" s="22"/>
      <c r="E22" s="1"/>
    </row>
    <row r="23" spans="1:5" ht="15" customHeight="1" x14ac:dyDescent="0.25">
      <c r="A23" s="1"/>
      <c r="B23" s="43" t="s">
        <v>195</v>
      </c>
      <c r="C23" s="10">
        <f>'Fane 2.2. Økonomisk ramme 2021'!C24</f>
        <v>-40622.056594793685</v>
      </c>
      <c r="D23" s="11" t="s">
        <v>3</v>
      </c>
      <c r="E23" s="1"/>
    </row>
    <row r="24" spans="1:5" x14ac:dyDescent="0.25">
      <c r="A24" s="1"/>
      <c r="B24" s="49" t="s">
        <v>45</v>
      </c>
      <c r="C24" s="12">
        <f>SUM(C15,C17,C21,C23)</f>
        <v>16360953.121089131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TthcTbNVxHf/D4eXVAOKKub3davNGVSO8j4hEDLj/sAf3C2w40WdBQDxnL0znY2KnrG7BssFafBURXQ81AJgA==" saltValue="9CvMN2lRVY+SpZz1VHp0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194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20</v>
      </c>
      <c r="C7" s="50"/>
      <c r="D7" s="22"/>
      <c r="E7" s="1"/>
    </row>
    <row r="8" spans="1:5" ht="15" customHeight="1" x14ac:dyDescent="0.25">
      <c r="A8" s="1"/>
      <c r="B8" s="48" t="s">
        <v>37</v>
      </c>
      <c r="C8" s="7">
        <f>'Fane 2.3. Økonomisk ramme 2022'!C15</f>
        <v>10723298.862355938</v>
      </c>
      <c r="D8" s="8" t="s">
        <v>3</v>
      </c>
      <c r="E8" s="1"/>
    </row>
    <row r="9" spans="1:5" ht="15" customHeight="1" x14ac:dyDescent="0.25">
      <c r="A9" s="1"/>
      <c r="B9" s="48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41" t="s">
        <v>26</v>
      </c>
      <c r="C11" s="9">
        <f>C8*'Fane 14. Nøgletal'!C12</f>
        <v>211248.98758841198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-143135.46678479321</v>
      </c>
      <c r="D12" s="8" t="s">
        <v>3</v>
      </c>
      <c r="E12" s="1"/>
    </row>
    <row r="13" spans="1:5" ht="15" customHeight="1" x14ac:dyDescent="0.25">
      <c r="A13" s="1"/>
      <c r="B13" s="41" t="s">
        <v>38</v>
      </c>
      <c r="C13" s="9">
        <f>-'Fane 4.1. Gen. krav - drift'!G44</f>
        <v>-101303.9265623243</v>
      </c>
      <c r="D13" s="8" t="s">
        <v>3</v>
      </c>
      <c r="E13" s="1"/>
    </row>
    <row r="14" spans="1:5" ht="15" customHeight="1" x14ac:dyDescent="0.25">
      <c r="A14" s="1"/>
      <c r="B14" s="41" t="s">
        <v>39</v>
      </c>
      <c r="C14" s="9">
        <f>-'Fane 4.2. Gen. krav - anlæg'!G43</f>
        <v>-186840.49635065213</v>
      </c>
      <c r="D14" s="8" t="s">
        <v>3</v>
      </c>
      <c r="E14" s="1"/>
    </row>
    <row r="15" spans="1:5" x14ac:dyDescent="0.25">
      <c r="A15" s="1"/>
      <c r="B15" s="42" t="s">
        <v>28</v>
      </c>
      <c r="C15" s="10">
        <f>SUM(C8:C14)</f>
        <v>10503267.96024658</v>
      </c>
      <c r="D15" s="11" t="s">
        <v>3</v>
      </c>
      <c r="E15" s="1"/>
    </row>
    <row r="16" spans="1:5" x14ac:dyDescent="0.25">
      <c r="A16" s="1"/>
      <c r="B16" s="49" t="s">
        <v>17</v>
      </c>
      <c r="C16" s="50"/>
      <c r="D16" s="22"/>
      <c r="E16" s="1"/>
    </row>
    <row r="17" spans="1:5" ht="15" customHeight="1" x14ac:dyDescent="0.25">
      <c r="A17" s="1"/>
      <c r="B17" s="43" t="s">
        <v>17</v>
      </c>
      <c r="C17" s="10">
        <f>'Fane 6. Ikke-påvirkelige omk.'!C16*(1+'Fane 14. Nøgletal'!C12)^3</f>
        <v>5790138.3587399479</v>
      </c>
      <c r="D17" s="11" t="s">
        <v>3</v>
      </c>
      <c r="E17" s="1"/>
    </row>
    <row r="18" spans="1:5" ht="15" customHeight="1" x14ac:dyDescent="0.25">
      <c r="A18" s="1"/>
      <c r="B18" s="49" t="s">
        <v>142</v>
      </c>
      <c r="C18" s="5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9" t="s">
        <v>154</v>
      </c>
      <c r="C22" s="12">
        <f>SUM(C15,C17,C21)</f>
        <v>16293406.318986528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WO3Qk0dEnkq1foucTZIRnQQ+QfO/7aJZbO2JcgTfy3Z4+GsqcRxlHyZu4ZjrOmDbJzGdqBeoNAXZSLU5fF9fA==" saltValue="XS7Qd2RyuwZigHwXTpMG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221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84</v>
      </c>
      <c r="C8" s="50"/>
      <c r="D8" s="50"/>
      <c r="E8" s="50"/>
      <c r="F8" s="22"/>
      <c r="G8" s="1"/>
    </row>
    <row r="9" spans="1:7" x14ac:dyDescent="0.25">
      <c r="A9" s="1"/>
      <c r="B9" s="94" t="s">
        <v>81</v>
      </c>
      <c r="C9" s="95"/>
      <c r="D9" s="96"/>
      <c r="E9" s="7">
        <v>11028315.912604395</v>
      </c>
      <c r="F9" s="8" t="s">
        <v>3</v>
      </c>
      <c r="G9" s="1"/>
    </row>
    <row r="10" spans="1:7" x14ac:dyDescent="0.25">
      <c r="A10" s="1"/>
      <c r="B10" s="94" t="s">
        <v>82</v>
      </c>
      <c r="C10" s="95"/>
      <c r="D10" s="96"/>
      <c r="E10" s="7">
        <v>-302863.58697190054</v>
      </c>
      <c r="F10" s="8" t="s">
        <v>3</v>
      </c>
      <c r="G10" s="1"/>
    </row>
    <row r="11" spans="1:7" x14ac:dyDescent="0.25">
      <c r="A11" s="1"/>
      <c r="B11" s="94" t="s">
        <v>83</v>
      </c>
      <c r="C11" s="95"/>
      <c r="D11" s="96"/>
      <c r="E11" s="7">
        <v>58474.153377899296</v>
      </c>
      <c r="F11" s="8" t="s">
        <v>3</v>
      </c>
      <c r="G11" s="1"/>
    </row>
    <row r="12" spans="1:7" x14ac:dyDescent="0.25">
      <c r="A12" s="1"/>
      <c r="B12" s="81" t="s">
        <v>67</v>
      </c>
      <c r="C12" s="82"/>
      <c r="D12" s="83"/>
      <c r="E12" s="7">
        <v>0</v>
      </c>
      <c r="F12" s="8" t="s">
        <v>3</v>
      </c>
      <c r="G12" s="1"/>
    </row>
    <row r="13" spans="1:7" x14ac:dyDescent="0.25">
      <c r="A13" s="1"/>
      <c r="B13" s="81" t="s">
        <v>68</v>
      </c>
      <c r="C13" s="82"/>
      <c r="D13" s="83"/>
      <c r="E13" s="9">
        <v>210769.81229999999</v>
      </c>
      <c r="F13" s="8" t="s">
        <v>3</v>
      </c>
      <c r="G13" s="1"/>
    </row>
    <row r="14" spans="1:7" x14ac:dyDescent="0.25">
      <c r="A14" s="1"/>
      <c r="B14" s="81" t="s">
        <v>41</v>
      </c>
      <c r="C14" s="82"/>
      <c r="D14" s="83"/>
      <c r="E14" s="9">
        <v>0</v>
      </c>
      <c r="F14" s="8" t="s">
        <v>3</v>
      </c>
      <c r="G14" s="1"/>
    </row>
    <row r="15" spans="1:7" x14ac:dyDescent="0.25">
      <c r="A15" s="1"/>
      <c r="B15" s="81" t="s">
        <v>40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1" t="s">
        <v>43</v>
      </c>
      <c r="C16" s="82"/>
      <c r="D16" s="83"/>
      <c r="E16" s="9">
        <v>0</v>
      </c>
      <c r="F16" s="8" t="s">
        <v>3</v>
      </c>
      <c r="G16" s="1"/>
    </row>
    <row r="17" spans="1:7" x14ac:dyDescent="0.25">
      <c r="A17" s="1"/>
      <c r="B17" s="81" t="s">
        <v>42</v>
      </c>
      <c r="C17" s="82"/>
      <c r="D17" s="83"/>
      <c r="E17" s="9">
        <v>0</v>
      </c>
      <c r="F17" s="8" t="s">
        <v>3</v>
      </c>
      <c r="G17" s="1"/>
    </row>
    <row r="18" spans="1:7" x14ac:dyDescent="0.25">
      <c r="A18" s="1"/>
      <c r="B18" s="81" t="s">
        <v>26</v>
      </c>
      <c r="C18" s="82"/>
      <c r="D18" s="83"/>
      <c r="E18" s="9">
        <f>SUM(E9:E17)*'Fane 14. Nøgletal'!C11</f>
        <v>185810.36732314565</v>
      </c>
      <c r="F18" s="8" t="s">
        <v>3</v>
      </c>
      <c r="G18" s="1"/>
    </row>
    <row r="19" spans="1:7" x14ac:dyDescent="0.25">
      <c r="A19" s="1"/>
      <c r="B19" s="81" t="s">
        <v>10</v>
      </c>
      <c r="C19" s="82"/>
      <c r="D19" s="83"/>
      <c r="E19" s="9">
        <f>-SUM(E9:E18)*'Fane 5. Individuelt eff. krav'!G10</f>
        <v>-146355.11787368008</v>
      </c>
      <c r="F19" s="8" t="s">
        <v>3</v>
      </c>
      <c r="G19" s="1"/>
    </row>
    <row r="20" spans="1:7" x14ac:dyDescent="0.25">
      <c r="A20" s="1"/>
      <c r="B20" s="81" t="s">
        <v>38</v>
      </c>
      <c r="C20" s="82"/>
      <c r="D20" s="83"/>
      <c r="E20" s="9">
        <f>-'Fane 4.1. Gen. krav - drift'!G20</f>
        <v>-100753.17211517892</v>
      </c>
      <c r="F20" s="8" t="s">
        <v>3</v>
      </c>
      <c r="G20" s="1"/>
    </row>
    <row r="21" spans="1:7" x14ac:dyDescent="0.25">
      <c r="A21" s="1"/>
      <c r="B21" s="81" t="s">
        <v>39</v>
      </c>
      <c r="C21" s="82"/>
      <c r="D21" s="83"/>
      <c r="E21" s="9">
        <f>-'Fane 4.2. Gen. krav - anlæg'!G19</f>
        <v>-54156.710443159522</v>
      </c>
      <c r="F21" s="8" t="s">
        <v>3</v>
      </c>
      <c r="G21" s="1"/>
    </row>
    <row r="22" spans="1:7" x14ac:dyDescent="0.25">
      <c r="A22" s="1"/>
      <c r="B22" s="84" t="s">
        <v>28</v>
      </c>
      <c r="C22" s="85"/>
      <c r="D22" s="86"/>
      <c r="E22" s="10">
        <f>SUM(E9:E21)</f>
        <v>10879241.658201521</v>
      </c>
      <c r="F22" s="11" t="s">
        <v>3</v>
      </c>
      <c r="G22" s="1"/>
    </row>
    <row r="23" spans="1:7" x14ac:dyDescent="0.25">
      <c r="A23" s="1"/>
      <c r="B23" s="97" t="s">
        <v>17</v>
      </c>
      <c r="C23" s="98"/>
      <c r="D23" s="98"/>
      <c r="E23" s="50"/>
      <c r="F23" s="22"/>
      <c r="G23" s="1"/>
    </row>
    <row r="24" spans="1:7" x14ac:dyDescent="0.25">
      <c r="A24" s="1"/>
      <c r="B24" s="87" t="s">
        <v>17</v>
      </c>
      <c r="C24" s="88"/>
      <c r="D24" s="89"/>
      <c r="E24" s="10">
        <v>5109233.965857029</v>
      </c>
      <c r="F24" s="11" t="s">
        <v>3</v>
      </c>
      <c r="G24" s="1"/>
    </row>
    <row r="25" spans="1:7" x14ac:dyDescent="0.25">
      <c r="A25" s="1"/>
      <c r="B25" s="49" t="s">
        <v>130</v>
      </c>
      <c r="C25" s="50"/>
      <c r="D25" s="50"/>
      <c r="E25" s="50"/>
      <c r="F25" s="22"/>
      <c r="G25" s="1"/>
    </row>
    <row r="26" spans="1:7" ht="27" customHeight="1" x14ac:dyDescent="0.25">
      <c r="A26" s="1"/>
      <c r="B26" s="90" t="s">
        <v>132</v>
      </c>
      <c r="C26" s="91"/>
      <c r="D26" s="92"/>
      <c r="E26" s="10">
        <v>25931.441689059262</v>
      </c>
      <c r="F26" s="11" t="s">
        <v>3</v>
      </c>
      <c r="G26" s="1"/>
    </row>
    <row r="27" spans="1:7" x14ac:dyDescent="0.25">
      <c r="A27" s="1"/>
      <c r="B27" s="49" t="s">
        <v>11</v>
      </c>
      <c r="C27" s="50"/>
      <c r="D27" s="50"/>
      <c r="E27" s="50"/>
      <c r="F27" s="22"/>
      <c r="G27" s="1"/>
    </row>
    <row r="28" spans="1:7" x14ac:dyDescent="0.25">
      <c r="A28" s="1"/>
      <c r="B28" s="87" t="s">
        <v>19</v>
      </c>
      <c r="C28" s="88"/>
      <c r="D28" s="89"/>
      <c r="E28" s="10">
        <v>-1697628</v>
      </c>
      <c r="F28" s="11" t="s">
        <v>3</v>
      </c>
      <c r="G28" s="1"/>
    </row>
    <row r="29" spans="1:7" x14ac:dyDescent="0.25">
      <c r="A29" s="1"/>
      <c r="B29" s="49" t="s">
        <v>160</v>
      </c>
      <c r="C29" s="50"/>
      <c r="D29" s="50"/>
      <c r="E29" s="50"/>
      <c r="F29" s="22"/>
      <c r="G29" s="1"/>
    </row>
    <row r="30" spans="1:7" x14ac:dyDescent="0.25">
      <c r="A30" s="1"/>
      <c r="B30" s="87" t="s">
        <v>131</v>
      </c>
      <c r="C30" s="88"/>
      <c r="D30" s="89"/>
      <c r="E30" s="10">
        <v>504619.81687738927</v>
      </c>
      <c r="F30" s="11" t="s">
        <v>3</v>
      </c>
      <c r="G30" s="1"/>
    </row>
    <row r="31" spans="1:7" x14ac:dyDescent="0.25">
      <c r="A31" s="1"/>
      <c r="B31" s="49" t="s">
        <v>23</v>
      </c>
      <c r="C31" s="50"/>
      <c r="D31" s="50"/>
      <c r="E31" s="12">
        <f>SUM(E28,E26,E24,E22,E30)</f>
        <v>14821398.882624999</v>
      </c>
      <c r="F31" s="13" t="s">
        <v>3</v>
      </c>
      <c r="G31" s="1"/>
    </row>
    <row r="32" spans="1:7" ht="28.15" customHeight="1" x14ac:dyDescent="0.25">
      <c r="A32" s="1"/>
      <c r="B32" s="78" t="s">
        <v>189</v>
      </c>
      <c r="C32" s="79"/>
      <c r="D32" s="79"/>
      <c r="E32" s="79"/>
      <c r="F32" s="8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FuM0KwZFFbrNAIo176ktaHqwibVOfXgcvZIATQrc4zliMn+5B73HzRpQ2KS9Oa1SDuBWcjTc/PhZRxr2Zrxfg==" saltValue="mhcBS0W5F/gz85tgCeuWx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6" t="s">
        <v>202</v>
      </c>
      <c r="C2" s="76"/>
      <c r="D2" s="76"/>
      <c r="E2" s="76"/>
      <c r="F2" s="76"/>
      <c r="G2" s="76"/>
      <c r="H2" s="76"/>
      <c r="I2" s="1"/>
    </row>
    <row r="3" spans="1:9" ht="15" customHeight="1" x14ac:dyDescent="0.25">
      <c r="A3" s="1"/>
      <c r="B3" s="76"/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99" t="s">
        <v>97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86</v>
      </c>
      <c r="C6" s="103"/>
      <c r="D6" s="103"/>
      <c r="E6" s="103"/>
      <c r="F6" s="104"/>
      <c r="G6" s="26">
        <v>5404911</v>
      </c>
      <c r="H6" s="14" t="s">
        <v>3</v>
      </c>
      <c r="I6" s="1"/>
    </row>
    <row r="7" spans="1:9" x14ac:dyDescent="0.25">
      <c r="A7" s="1"/>
      <c r="B7" s="102" t="s">
        <v>87</v>
      </c>
      <c r="C7" s="103"/>
      <c r="D7" s="103"/>
      <c r="E7" s="103"/>
      <c r="F7" s="104"/>
      <c r="G7" s="26">
        <f>G6*'Fane 14. Nøgletal'!C25</f>
        <v>108098.22</v>
      </c>
      <c r="H7" s="14" t="s">
        <v>3</v>
      </c>
      <c r="I7" s="1"/>
    </row>
    <row r="8" spans="1:9" x14ac:dyDescent="0.25">
      <c r="A8" s="1"/>
      <c r="B8" s="49"/>
      <c r="C8" s="50"/>
      <c r="D8" s="50"/>
      <c r="E8" s="50"/>
      <c r="F8" s="50"/>
      <c r="G8" s="5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98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88</v>
      </c>
      <c r="C11" s="103"/>
      <c r="D11" s="103"/>
      <c r="E11" s="103"/>
      <c r="F11" s="104"/>
      <c r="G11" s="26">
        <f>(G6-G7)*(1+'Fane 14. Nøgletal'!C9)</f>
        <v>5364082.3023060001</v>
      </c>
      <c r="H11" s="14" t="s">
        <v>3</v>
      </c>
      <c r="I11" s="1"/>
    </row>
    <row r="12" spans="1:9" x14ac:dyDescent="0.25">
      <c r="A12" s="1"/>
      <c r="B12" s="105" t="s">
        <v>89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90</v>
      </c>
      <c r="C13" s="103"/>
      <c r="D13" s="103"/>
      <c r="E13" s="103"/>
      <c r="F13" s="104"/>
      <c r="G13" s="26">
        <f>(G11+G12)*'Fane 14. Nøgletal'!C25</f>
        <v>107281.64604612</v>
      </c>
      <c r="H13" s="14" t="s">
        <v>3</v>
      </c>
      <c r="I13" s="1"/>
    </row>
    <row r="14" spans="1:9" x14ac:dyDescent="0.25">
      <c r="A14" s="1"/>
      <c r="B14" s="49"/>
      <c r="C14" s="50"/>
      <c r="D14" s="50"/>
      <c r="E14" s="50"/>
      <c r="F14" s="50"/>
      <c r="G14" s="5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99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91</v>
      </c>
      <c r="C17" s="103"/>
      <c r="D17" s="103"/>
      <c r="E17" s="103"/>
      <c r="F17" s="104"/>
      <c r="G17" s="26">
        <f>(G13/'Fane 14. Nøgletal'!C25-G13)*(1+'Fane 14. Nøgletal'!C11)</f>
        <v>5345640.5873506721</v>
      </c>
      <c r="H17" s="14" t="s">
        <v>3</v>
      </c>
      <c r="I17" s="1"/>
    </row>
    <row r="18" spans="1:9" x14ac:dyDescent="0.25">
      <c r="A18" s="1"/>
      <c r="B18" s="102" t="s">
        <v>222</v>
      </c>
      <c r="C18" s="103"/>
      <c r="D18" s="103"/>
      <c r="E18" s="103"/>
      <c r="F18" s="104"/>
      <c r="G18" s="26">
        <v>-307981.98159172566</v>
      </c>
      <c r="H18" s="14" t="s">
        <v>3</v>
      </c>
      <c r="I18" s="1"/>
    </row>
    <row r="19" spans="1:9" x14ac:dyDescent="0.25">
      <c r="A19" s="1"/>
      <c r="B19" s="105" t="s">
        <v>92</v>
      </c>
      <c r="C19" s="106"/>
      <c r="D19" s="106"/>
      <c r="E19" s="106"/>
      <c r="F19" s="107"/>
      <c r="G19" s="26">
        <v>0</v>
      </c>
      <c r="H19" s="14" t="s">
        <v>3</v>
      </c>
      <c r="I19" s="1"/>
    </row>
    <row r="20" spans="1:9" x14ac:dyDescent="0.25">
      <c r="A20" s="1"/>
      <c r="B20" s="102" t="s">
        <v>93</v>
      </c>
      <c r="C20" s="103"/>
      <c r="D20" s="103"/>
      <c r="E20" s="103"/>
      <c r="F20" s="104"/>
      <c r="G20" s="26">
        <f>SUM(G17:G19)*'Fane 14. Nøgletal'!C25</f>
        <v>100753.17211517892</v>
      </c>
      <c r="H20" s="14" t="s">
        <v>3</v>
      </c>
      <c r="I20" s="1"/>
    </row>
    <row r="21" spans="1:9" x14ac:dyDescent="0.25">
      <c r="A21" s="1"/>
      <c r="B21" s="49"/>
      <c r="C21" s="50"/>
      <c r="D21" s="50"/>
      <c r="E21" s="50"/>
      <c r="F21" s="50"/>
      <c r="G21" s="5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100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94</v>
      </c>
      <c r="C24" s="103"/>
      <c r="D24" s="103"/>
      <c r="E24" s="103"/>
      <c r="F24" s="104"/>
      <c r="G24" s="26">
        <f>(SUM(G17:G19)-G20)*(1+'Fane 14. Nøgletal'!C11)</f>
        <v>5020339.135472347</v>
      </c>
      <c r="H24" s="14" t="s">
        <v>3</v>
      </c>
      <c r="I24" s="1"/>
    </row>
    <row r="25" spans="1:9" x14ac:dyDescent="0.25">
      <c r="A25" s="1"/>
      <c r="B25" s="105" t="s">
        <v>95</v>
      </c>
      <c r="C25" s="106"/>
      <c r="D25" s="106"/>
      <c r="E25" s="106"/>
      <c r="F25" s="107"/>
      <c r="G25" s="26">
        <f>('Fane 2.1. Økonomisk ramme 2020'!C10+'Fane 2.1. Økonomisk ramme 2020'!C12+'Fane 2.1. Økonomisk ramme 2020'!C14)*(1+'Fane 14. Nøgletal'!C12)</f>
        <v>55417.585832730008</v>
      </c>
      <c r="H25" s="14" t="s">
        <v>3</v>
      </c>
      <c r="I25" s="1"/>
    </row>
    <row r="26" spans="1:9" x14ac:dyDescent="0.25">
      <c r="A26" s="1"/>
      <c r="B26" s="102" t="s">
        <v>96</v>
      </c>
      <c r="C26" s="103"/>
      <c r="D26" s="103"/>
      <c r="E26" s="103"/>
      <c r="F26" s="104"/>
      <c r="G26" s="26">
        <f>(G24+G25)*'Fane 14. Nøgletal'!C25</f>
        <v>101515.13442610155</v>
      </c>
      <c r="H26" s="14" t="s">
        <v>3</v>
      </c>
      <c r="I26" s="1"/>
    </row>
    <row r="27" spans="1:9" x14ac:dyDescent="0.25">
      <c r="A27" s="1"/>
      <c r="B27" s="49"/>
      <c r="C27" s="50"/>
      <c r="D27" s="50"/>
      <c r="E27" s="50"/>
      <c r="F27" s="50"/>
      <c r="G27" s="5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191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103</v>
      </c>
      <c r="C30" s="103"/>
      <c r="D30" s="103"/>
      <c r="E30" s="103"/>
      <c r="F30" s="104"/>
      <c r="G30" s="26">
        <f>(G24+G25-G26)*(1+'Fane 14. Nøgletal'!C12)</f>
        <v>5072234.1461404916</v>
      </c>
      <c r="H30" s="14" t="s">
        <v>3</v>
      </c>
      <c r="I30" s="1"/>
    </row>
    <row r="31" spans="1:9" x14ac:dyDescent="0.25">
      <c r="A31" s="1"/>
      <c r="B31" s="102" t="s">
        <v>145</v>
      </c>
      <c r="C31" s="103"/>
      <c r="D31" s="103"/>
      <c r="E31" s="103"/>
      <c r="F31" s="104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2" t="s">
        <v>220</v>
      </c>
      <c r="C32" s="103"/>
      <c r="D32" s="103"/>
      <c r="E32" s="103"/>
      <c r="F32" s="104"/>
      <c r="G32" s="26">
        <f>(G30+G31)*'Fane 14. Nøgletal'!C25</f>
        <v>101444.68292280984</v>
      </c>
      <c r="H32" s="14" t="s">
        <v>3</v>
      </c>
      <c r="I32" s="1"/>
    </row>
    <row r="33" spans="1:9" x14ac:dyDescent="0.25">
      <c r="A33" s="1"/>
      <c r="B33" s="49"/>
      <c r="C33" s="50"/>
      <c r="D33" s="50"/>
      <c r="E33" s="50"/>
      <c r="F33" s="50"/>
      <c r="G33" s="5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9" t="s">
        <v>126</v>
      </c>
      <c r="C35" s="100"/>
      <c r="D35" s="100"/>
      <c r="E35" s="100"/>
      <c r="F35" s="100"/>
      <c r="G35" s="100"/>
      <c r="H35" s="101"/>
      <c r="I35" s="1"/>
    </row>
    <row r="36" spans="1:9" x14ac:dyDescent="0.25">
      <c r="A36" s="1"/>
      <c r="B36" s="102" t="s">
        <v>125</v>
      </c>
      <c r="C36" s="103"/>
      <c r="D36" s="103"/>
      <c r="E36" s="103"/>
      <c r="F36" s="104"/>
      <c r="G36" s="26">
        <f>(G30-G32)*(1+'Fane 14. Nøgletal'!C12)</f>
        <v>5068714.0156430705</v>
      </c>
      <c r="H36" s="14" t="s">
        <v>3</v>
      </c>
      <c r="I36" s="1"/>
    </row>
    <row r="37" spans="1:9" x14ac:dyDescent="0.25">
      <c r="A37" s="1"/>
      <c r="B37" s="102" t="s">
        <v>146</v>
      </c>
      <c r="C37" s="103"/>
      <c r="D37" s="103"/>
      <c r="E37" s="103"/>
      <c r="F37" s="104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2" t="s">
        <v>104</v>
      </c>
      <c r="C38" s="103"/>
      <c r="D38" s="103"/>
      <c r="E38" s="103"/>
      <c r="F38" s="104"/>
      <c r="G38" s="26">
        <f>(G36+G37)*'Fane 14. Nøgletal'!C25</f>
        <v>101374.28031286142</v>
      </c>
      <c r="H38" s="14" t="s">
        <v>3</v>
      </c>
      <c r="I38" s="1"/>
    </row>
    <row r="39" spans="1:9" x14ac:dyDescent="0.25">
      <c r="A39" s="1"/>
      <c r="B39" s="49"/>
      <c r="C39" s="50"/>
      <c r="D39" s="50"/>
      <c r="E39" s="50"/>
      <c r="F39" s="50"/>
      <c r="G39" s="5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9" t="s">
        <v>127</v>
      </c>
      <c r="C41" s="100"/>
      <c r="D41" s="100"/>
      <c r="E41" s="100"/>
      <c r="F41" s="100"/>
      <c r="G41" s="100"/>
      <c r="H41" s="101"/>
      <c r="I41" s="1"/>
    </row>
    <row r="42" spans="1:9" x14ac:dyDescent="0.25">
      <c r="A42" s="1"/>
      <c r="B42" s="102" t="s">
        <v>124</v>
      </c>
      <c r="C42" s="103"/>
      <c r="D42" s="103"/>
      <c r="E42" s="103"/>
      <c r="F42" s="104"/>
      <c r="G42" s="26">
        <f>(G36-G38)*(1+'Fane 14. Nøgletal'!C12)</f>
        <v>5065196.3281162148</v>
      </c>
      <c r="H42" s="14" t="s">
        <v>3</v>
      </c>
      <c r="I42" s="1"/>
    </row>
    <row r="43" spans="1:9" x14ac:dyDescent="0.25">
      <c r="A43" s="1"/>
      <c r="B43" s="102" t="s">
        <v>147</v>
      </c>
      <c r="C43" s="103"/>
      <c r="D43" s="103"/>
      <c r="E43" s="103"/>
      <c r="F43" s="104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2" t="s">
        <v>105</v>
      </c>
      <c r="C44" s="103"/>
      <c r="D44" s="103"/>
      <c r="E44" s="103"/>
      <c r="F44" s="104"/>
      <c r="G44" s="26">
        <f>(G42+G43)*'Fane 14. Nøgletal'!C25</f>
        <v>101303.9265623243</v>
      </c>
      <c r="H44" s="14" t="s">
        <v>3</v>
      </c>
      <c r="I44" s="1"/>
    </row>
    <row r="45" spans="1:9" x14ac:dyDescent="0.25">
      <c r="A45" s="1"/>
      <c r="B45" s="49"/>
      <c r="C45" s="50"/>
      <c r="D45" s="50"/>
      <c r="E45" s="50"/>
      <c r="F45" s="50"/>
      <c r="G45" s="5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z01+mLFE+ZFyzcc3nf2ThzmOyuxtCNvnB0r20m/hM6lPe0qF6agvgU64+dNHdxaEWw7LhYLdDzHJFy1mfpnAA==" saltValue="y98FWrP1w5NDQhr4rMnTo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8" t="s">
        <v>203</v>
      </c>
      <c r="C2" s="108"/>
      <c r="D2" s="108"/>
      <c r="E2" s="108"/>
      <c r="F2" s="108"/>
      <c r="G2" s="108"/>
      <c r="H2" s="108"/>
      <c r="I2" s="1"/>
    </row>
    <row r="3" spans="1:9" ht="18.75" x14ac:dyDescent="0.3">
      <c r="A3" s="1"/>
      <c r="B3" s="52"/>
      <c r="C3" s="52"/>
      <c r="D3" s="52"/>
      <c r="E3" s="52"/>
      <c r="F3" s="52"/>
      <c r="G3" s="52"/>
      <c r="H3" s="52"/>
      <c r="I3" s="1"/>
    </row>
    <row r="4" spans="1:9" x14ac:dyDescent="0.25">
      <c r="A4" s="1"/>
      <c r="B4" s="99" t="s">
        <v>101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2" t="s">
        <v>106</v>
      </c>
      <c r="C5" s="103"/>
      <c r="D5" s="103"/>
      <c r="E5" s="103"/>
      <c r="F5" s="104"/>
      <c r="G5" s="26">
        <v>5885449.4345811922</v>
      </c>
      <c r="H5" s="14" t="s">
        <v>3</v>
      </c>
      <c r="I5" s="1"/>
    </row>
    <row r="6" spans="1:9" x14ac:dyDescent="0.25">
      <c r="A6" s="1"/>
      <c r="B6" s="102" t="s">
        <v>102</v>
      </c>
      <c r="C6" s="103"/>
      <c r="D6" s="103"/>
      <c r="E6" s="103"/>
      <c r="F6" s="104"/>
      <c r="G6" s="26">
        <f>G5*'Fane 14. Nøgletal'!C17</f>
        <v>53557.589854688849</v>
      </c>
      <c r="H6" s="14" t="s">
        <v>3</v>
      </c>
      <c r="I6" s="1"/>
    </row>
    <row r="7" spans="1:9" x14ac:dyDescent="0.25">
      <c r="A7" s="1"/>
      <c r="B7" s="49"/>
      <c r="C7" s="50"/>
      <c r="D7" s="50"/>
      <c r="E7" s="50"/>
      <c r="F7" s="50"/>
      <c r="G7" s="5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107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2" t="s">
        <v>108</v>
      </c>
      <c r="C10" s="103"/>
      <c r="D10" s="103"/>
      <c r="E10" s="103"/>
      <c r="F10" s="104"/>
      <c r="G10" s="26">
        <f>(G5-G6)*(1+'Fane 14. Nøgletal'!C9)</f>
        <v>5905956.871154529</v>
      </c>
      <c r="H10" s="14" t="s">
        <v>3</v>
      </c>
      <c r="I10" s="1"/>
    </row>
    <row r="11" spans="1:9" x14ac:dyDescent="0.25">
      <c r="A11" s="1"/>
      <c r="B11" s="105" t="s">
        <v>109</v>
      </c>
      <c r="C11" s="106"/>
      <c r="D11" s="106"/>
      <c r="E11" s="106"/>
      <c r="F11" s="107"/>
      <c r="G11" s="26">
        <v>0</v>
      </c>
      <c r="H11" s="14" t="s">
        <v>3</v>
      </c>
      <c r="I11" s="1"/>
    </row>
    <row r="12" spans="1:9" x14ac:dyDescent="0.25">
      <c r="A12" s="1"/>
      <c r="B12" s="102" t="s">
        <v>110</v>
      </c>
      <c r="C12" s="103"/>
      <c r="D12" s="103"/>
      <c r="E12" s="103"/>
      <c r="F12" s="104"/>
      <c r="G12" s="26">
        <f>G10*'Fane 14. Nøgletal'!C17+G11*'Fane 14. Nøgletal'!C18</f>
        <v>53744.207527506216</v>
      </c>
      <c r="H12" s="14" t="s">
        <v>3</v>
      </c>
      <c r="I12" s="1"/>
    </row>
    <row r="13" spans="1:9" x14ac:dyDescent="0.25">
      <c r="A13" s="1"/>
      <c r="B13" s="49"/>
      <c r="C13" s="50"/>
      <c r="D13" s="50"/>
      <c r="E13" s="50"/>
      <c r="F13" s="50"/>
      <c r="G13" s="5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9" t="s">
        <v>111</v>
      </c>
      <c r="C15" s="100"/>
      <c r="D15" s="100"/>
      <c r="E15" s="100"/>
      <c r="F15" s="100"/>
      <c r="G15" s="100"/>
      <c r="H15" s="101"/>
      <c r="I15" s="1"/>
    </row>
    <row r="16" spans="1:9" x14ac:dyDescent="0.25">
      <c r="A16" s="1"/>
      <c r="B16" s="102" t="s">
        <v>112</v>
      </c>
      <c r="C16" s="103"/>
      <c r="D16" s="103"/>
      <c r="E16" s="103"/>
      <c r="F16" s="104"/>
      <c r="G16" s="26">
        <f>(G10+G11-G12)*(1+'Fane 14. Nøgletal'!C11)</f>
        <v>5951115.0576423192</v>
      </c>
      <c r="H16" s="14" t="s">
        <v>3</v>
      </c>
      <c r="I16" s="1"/>
    </row>
    <row r="17" spans="1:9" x14ac:dyDescent="0.25">
      <c r="A17" s="1"/>
      <c r="B17" s="102" t="s">
        <v>223</v>
      </c>
      <c r="C17" s="103"/>
      <c r="D17" s="103"/>
      <c r="E17" s="103"/>
      <c r="F17" s="104"/>
      <c r="G17" s="26">
        <v>59462.366569985788</v>
      </c>
      <c r="H17" s="14" t="s">
        <v>3</v>
      </c>
      <c r="I17" s="1"/>
    </row>
    <row r="18" spans="1:9" x14ac:dyDescent="0.25">
      <c r="A18" s="1"/>
      <c r="B18" s="105" t="s">
        <v>113</v>
      </c>
      <c r="C18" s="106"/>
      <c r="D18" s="106"/>
      <c r="E18" s="106"/>
      <c r="F18" s="107"/>
      <c r="G18" s="26">
        <v>214331.82212786996</v>
      </c>
      <c r="H18" s="14" t="s">
        <v>3</v>
      </c>
      <c r="I18" s="1"/>
    </row>
    <row r="19" spans="1:9" x14ac:dyDescent="0.25">
      <c r="A19" s="1"/>
      <c r="B19" s="102" t="s">
        <v>114</v>
      </c>
      <c r="C19" s="103"/>
      <c r="D19" s="103"/>
      <c r="E19" s="103"/>
      <c r="F19" s="104"/>
      <c r="G19" s="26">
        <f>SUM(G16:G18)*'Fane 14. Nøgletal'!C19</f>
        <v>54156.710443159522</v>
      </c>
      <c r="H19" s="14" t="s">
        <v>3</v>
      </c>
      <c r="I19" s="1"/>
    </row>
    <row r="20" spans="1:9" x14ac:dyDescent="0.25">
      <c r="A20" s="1"/>
      <c r="B20" s="49"/>
      <c r="C20" s="50"/>
      <c r="D20" s="50"/>
      <c r="E20" s="50"/>
      <c r="F20" s="50"/>
      <c r="G20" s="5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115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2" t="s">
        <v>116</v>
      </c>
      <c r="C23" s="103"/>
      <c r="D23" s="103"/>
      <c r="E23" s="103"/>
      <c r="F23" s="104"/>
      <c r="G23" s="26">
        <f>(SUM(G16:G18)-G19)*(1+'Fane 14. Nøgletal'!C11)</f>
        <v>6275038.2537536742</v>
      </c>
      <c r="H23" s="14" t="s">
        <v>3</v>
      </c>
      <c r="I23" s="1"/>
    </row>
    <row r="24" spans="1:9" x14ac:dyDescent="0.25">
      <c r="A24" s="1"/>
      <c r="B24" s="105" t="s">
        <v>117</v>
      </c>
      <c r="C24" s="106"/>
      <c r="D24" s="106"/>
      <c r="E24" s="106"/>
      <c r="F24" s="107"/>
      <c r="G24" s="26">
        <f>('Fane 2.1. Økonomisk ramme 2020'!C11+'Fane 2.1. Økonomisk ramme 2020'!C13+'Fane 2.1. Økonomisk ramme 2020'!C15)*(1+'Fane 14. Nøgletal'!C12)</f>
        <v>362809.48034697305</v>
      </c>
      <c r="H24" s="14" t="s">
        <v>3</v>
      </c>
      <c r="I24" s="1"/>
    </row>
    <row r="25" spans="1:9" x14ac:dyDescent="0.25">
      <c r="A25" s="1"/>
      <c r="B25" s="102" t="s">
        <v>118</v>
      </c>
      <c r="C25" s="103"/>
      <c r="D25" s="103"/>
      <c r="E25" s="103"/>
      <c r="F25" s="104"/>
      <c r="G25" s="26">
        <f>G23*'Fane 14. Nøgletal'!C19+G24*'Fane 14. Nøgletal'!C20</f>
        <v>64896.622049510996</v>
      </c>
      <c r="H25" s="14" t="s">
        <v>3</v>
      </c>
      <c r="I25" s="1"/>
    </row>
    <row r="26" spans="1:9" x14ac:dyDescent="0.25">
      <c r="A26" s="1"/>
      <c r="B26" s="49"/>
      <c r="C26" s="50"/>
      <c r="D26" s="50"/>
      <c r="E26" s="50"/>
      <c r="F26" s="50"/>
      <c r="G26" s="5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190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2" t="s">
        <v>119</v>
      </c>
      <c r="C29" s="103"/>
      <c r="D29" s="103"/>
      <c r="E29" s="103"/>
      <c r="F29" s="104"/>
      <c r="G29" s="26">
        <f>(G23+G24-G25)*(1+'Fane 14. Nøgletal'!C12)</f>
        <v>6702438.2489585439</v>
      </c>
      <c r="H29" s="14" t="s">
        <v>3</v>
      </c>
      <c r="I29" s="1"/>
    </row>
    <row r="30" spans="1:9" x14ac:dyDescent="0.25">
      <c r="A30" s="1"/>
      <c r="B30" s="102" t="s">
        <v>151</v>
      </c>
      <c r="C30" s="103"/>
      <c r="D30" s="103"/>
      <c r="E30" s="103"/>
      <c r="F30" s="104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2" t="s">
        <v>219</v>
      </c>
      <c r="C31" s="103"/>
      <c r="D31" s="103"/>
      <c r="E31" s="103"/>
      <c r="F31" s="104"/>
      <c r="G31" s="26">
        <f>(G29+G30)*'Fane 14. Nøgletal'!C20</f>
        <v>190349.24627042265</v>
      </c>
      <c r="H31" s="14" t="s">
        <v>3</v>
      </c>
      <c r="I31" s="1"/>
    </row>
    <row r="32" spans="1:9" x14ac:dyDescent="0.25">
      <c r="A32" s="1"/>
      <c r="B32" s="49"/>
      <c r="C32" s="50"/>
      <c r="D32" s="50"/>
      <c r="E32" s="50"/>
      <c r="F32" s="50"/>
      <c r="G32" s="5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128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2" t="s">
        <v>123</v>
      </c>
      <c r="C35" s="103"/>
      <c r="D35" s="103"/>
      <c r="E35" s="103"/>
      <c r="F35" s="104"/>
      <c r="G35" s="26">
        <f>(G29-G31)*(1+'Fane 14. Nøgletal'!C12)</f>
        <v>6640377.1560410773</v>
      </c>
      <c r="H35" s="14" t="s">
        <v>3</v>
      </c>
      <c r="I35" s="1"/>
    </row>
    <row r="36" spans="1:9" x14ac:dyDescent="0.25">
      <c r="A36" s="1"/>
      <c r="B36" s="102" t="s">
        <v>152</v>
      </c>
      <c r="C36" s="103"/>
      <c r="D36" s="103"/>
      <c r="E36" s="103"/>
      <c r="F36" s="104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2" t="s">
        <v>120</v>
      </c>
      <c r="C37" s="103"/>
      <c r="D37" s="103"/>
      <c r="E37" s="103"/>
      <c r="F37" s="104"/>
      <c r="G37" s="26">
        <f>(G35+G36)*'Fane 14. Nøgletal'!C20</f>
        <v>188586.71123156662</v>
      </c>
      <c r="H37" s="14" t="s">
        <v>3</v>
      </c>
      <c r="I37" s="1"/>
    </row>
    <row r="38" spans="1:9" x14ac:dyDescent="0.25">
      <c r="A38" s="1"/>
      <c r="B38" s="49"/>
      <c r="C38" s="50"/>
      <c r="D38" s="50"/>
      <c r="E38" s="50"/>
      <c r="F38" s="50"/>
      <c r="G38" s="5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129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2" t="s">
        <v>122</v>
      </c>
      <c r="C41" s="103"/>
      <c r="D41" s="103"/>
      <c r="E41" s="103"/>
      <c r="F41" s="104"/>
      <c r="G41" s="26">
        <f>(G35-G37)*(1+'Fane 14. Nøgletal'!C12)</f>
        <v>6578890.7165722577</v>
      </c>
      <c r="H41" s="14" t="s">
        <v>3</v>
      </c>
      <c r="I41" s="1"/>
    </row>
    <row r="42" spans="1:9" x14ac:dyDescent="0.25">
      <c r="A42" s="1"/>
      <c r="B42" s="102" t="s">
        <v>153</v>
      </c>
      <c r="C42" s="103"/>
      <c r="D42" s="103"/>
      <c r="E42" s="103"/>
      <c r="F42" s="104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2" t="s">
        <v>121</v>
      </c>
      <c r="C43" s="103"/>
      <c r="D43" s="103"/>
      <c r="E43" s="103"/>
      <c r="F43" s="104"/>
      <c r="G43" s="26">
        <f>(G41+G42)*'Fane 14. Nøgletal'!C20</f>
        <v>186840.49635065213</v>
      </c>
      <c r="H43" s="14" t="s">
        <v>3</v>
      </c>
      <c r="I43" s="1"/>
    </row>
    <row r="44" spans="1:9" x14ac:dyDescent="0.25">
      <c r="A44" s="1"/>
      <c r="B44" s="49"/>
      <c r="C44" s="50"/>
      <c r="D44" s="50"/>
      <c r="E44" s="50"/>
      <c r="F44" s="50"/>
      <c r="G44" s="5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mKqXtQOjm1RY5mAfOG++36pL/GYkWXdULCZsnfw55fiDdHAAjXJ2z0xzaTKu80NJuuOc8E+5VSCBAnbcW8z3w==" saltValue="wC5pigLFdPGcuf7/KNjBK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144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178</v>
      </c>
      <c r="C9" s="103"/>
      <c r="D9" s="103"/>
      <c r="E9" s="103"/>
      <c r="F9" s="104"/>
      <c r="G9" s="25">
        <v>3.8001521284228585E-3</v>
      </c>
      <c r="H9" s="14"/>
      <c r="I9" s="1"/>
    </row>
    <row r="10" spans="1:9" x14ac:dyDescent="0.25">
      <c r="A10" s="1"/>
      <c r="B10" s="102" t="s">
        <v>179</v>
      </c>
      <c r="C10" s="103"/>
      <c r="D10" s="103"/>
      <c r="E10" s="103"/>
      <c r="F10" s="104"/>
      <c r="G10" s="25">
        <v>1.309020443726182E-2</v>
      </c>
      <c r="H10" s="14"/>
      <c r="I10" s="1"/>
    </row>
    <row r="11" spans="1:9" x14ac:dyDescent="0.25">
      <c r="A11" s="1"/>
      <c r="B11" s="49"/>
      <c r="C11" s="50"/>
      <c r="D11" s="50"/>
      <c r="E11" s="50"/>
      <c r="F11" s="50"/>
      <c r="G11" s="5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9"/>
      <c r="C13" s="109"/>
      <c r="D13" s="109"/>
      <c r="E13" s="109"/>
      <c r="F13" s="109"/>
      <c r="G13" s="109"/>
      <c r="H13" s="109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wKQ2jkpt0f5qSqyamvIculVqbiviU857Qz28J2ycgznhuchfPtFPJt7immDhSQ1/il1kW0sJLS46hIAGJrZ+A==" saltValue="2l3TXZ8VNIWaoT1e9f68v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2021-09-15T09:56:07Z</dcterms:modified>
</cp:coreProperties>
</file>