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Holbæk AS (S047)\ØR2024\"/>
    </mc:Choice>
  </mc:AlternateContent>
  <xr:revisionPtr revIDLastSave="0" documentId="13_ncr:1_{C7666956-C84E-4161-AA19-8738F8940B9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<sst xmlns="http://schemas.openxmlformats.org/spreadsheetml/2006/main" count="657" uniqueCount="291">
  <si>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</si>
  <si>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</si>
  <si>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</si>
  <si>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</si>
  <si>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</si>
  <si>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</si>
  <si>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</si>
  <si>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</si>
  <si>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</si>
  <si>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</si>
  <si>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</si>
  <si>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</si>
  <si>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</si>
  <si>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</si>
  <si>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</si>
  <si>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</si>
  <si>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</si>
  <si>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</si>
  <si>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</si>
  <si>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</si>
  <si>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</si>
  <si>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</si>
  <si>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</si>
  <si>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</si>
  <si>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</si>
  <si>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</si>
  <si>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</si>
  <si>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</si>
  <si>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</si>
  <si>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</si>
  <si>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</si>
  <si>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</si>
  <si>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</si>
  <si>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</si>
  <si>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</si>
  <si>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</si>
  <si>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</si>
  <si>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</si>
  <si>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</si>
  <si>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</si>
  <si>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</si>
  <si>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</si>
  <si>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</si>
  <si>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</si>
  <si>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</si>
  <si>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</si>
  <si>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</si>
  <si>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</si>
  <si>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</si>
  <si>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</si>
  <si>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</si>
  <si>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</si>
  <si>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</si>
  <si>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</si>
  <si>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</si>
  <si>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</si>
  <si>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</si>
  <si>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</si>
  <si>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</si>
  <si>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</si>
  <si>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</si>
  <si>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</si>
  <si>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</si>
  <si>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</si>
  <si>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</si>
  <si>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</si>
  <si>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</si>
  <si>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</si>
  <si>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</si>
  <si>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</si>
  <si>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</si>
  <si>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</si>
  <si>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</si>
  <si>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</si>
  <si>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</si>
  <si>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</si>
  <si>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</si>
  <si>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</si>
  <si>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</si>
  <si>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</si>
  <si>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</si>
  <si>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</si>
  <si>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</si>
  <si>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</si>
  <si>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</si>
  <si>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</si>
  <si>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</si>
  <si>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</si>
  <si>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</si>
  <si>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</si>
  <si>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</si>
  <si>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</si>
  <si>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</si>
  <si>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</si>
  <si>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</si>
  <si>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</si>
  <si>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</si>
  <si>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</si>
  <si>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</si>
  <si>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</si>
  <si>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</si>
  <si>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</si>
  <si>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</si>
  <si>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</si>
  <si>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</si>
  <si>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</si>
  <si>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</si>
  <si>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</si>
  <si>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</si>
  <si>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</si>
  <si>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</si>
  <si>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</si>
  <si>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</si>
  <si>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</si>
  <si>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</si>
  <si>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</si>
  <si>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</si>
  <si>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</si>
  <si>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</si>
  <si>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</si>
  <si>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</si>
  <si>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</si>
  <si>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</si>
  <si>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</si>
  <si>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</si>
  <si>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</si>
  <si>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</si>
  <si>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</si>
  <si>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</si>
  <si>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</si>
  <si>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</si>
  <si>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</si>
  <si>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</si>
  <si>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</si>
  <si>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</si>
  <si>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</si>
  <si>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</si>
  <si>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</si>
  <si>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</si>
  <si>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</si>
  <si>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</si>
  <si>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</si>
  <si>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</si>
  <si>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</si>
  <si>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</si>
  <si>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</si>
  <si>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</si>
  <si>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</si>
  <si>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</si>
  <si>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</si>
  <si>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</si>
  <si>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</si>
  <si>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</si>
  <si>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</si>
  <si>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</si>
  <si>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</si>
  <si>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</si>
  <si>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</si>
  <si>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</si>
  <si>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</si>
  <si>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</si>
  <si>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</si>
  <si>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</si>
  <si>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</si>
  <si>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</si>
  <si>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</si>
  <si>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</si>
  <si>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</si>
  <si>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</si>
  <si>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</si>
  <si>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</si>
  <si>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</si>
  <si>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</si>
  <si>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</si>
  <si>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</si>
  <si>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</si>
  <si>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</si>
  <si>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</si>
  <si>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</si>
  <si>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</si>
  <si>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</si>
  <si>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</si>
  <si>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</si>
  <si>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</si>
  <si>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</si>
  <si>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</si>
  <si>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</si>
  <si>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</si>
  <si>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</si>
  <si>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</si>
  <si>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</si>
  <si>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</si>
  <si>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</si>
  <si>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</si>
  <si>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</si>
  <si>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</si>
  <si>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</si>
  <si>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</si>
  <si>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</si>
  <si>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</si>
  <si>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</si>
  <si>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</si>
  <si>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</si>
  <si>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</si>
  <si>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</si>
  <si>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</si>
  <si>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</si>
  <si>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</si>
  <si>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</si>
  <si>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</si>
  <si>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</si>
  <si>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</si>
  <si>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</si>
  <si>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</si>
  <si>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</si>
  <si>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</si>
  <si>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</si>
  <si>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</si>
  <si>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</si>
  <si>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</si>
  <si>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</si>
  <si>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</si>
  <si>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</si>
  <si>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</si>
  <si>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</si>
  <si>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</si>
  <si>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</si>
  <si>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</si>
  <si>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</si>
  <si>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</si>
  <si>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</si>
  <si>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</si>
  <si>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</si>
  <si>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</si>
  <si>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</si>
  <si>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</si>
  <si>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</si>
  <si>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</si>
  <si>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</si>
  <si>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</si>
  <si>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</si>
  <si>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</si>
  <si>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</si>
  <si>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</si>
  <si>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</si>
  <si>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</si>
  <si>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</si>
  <si>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</si>
  <si>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</si>
  <si>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</si>
  <si>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</si>
  <si>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</si>
  <si>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</si>
  <si>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</si>
  <si>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</si>
  <si>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</si>
  <si>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</si>
  <si>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</si>
  <si>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</si>
  <si>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</si>
  <si>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</si>
  <si>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</si>
  <si>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</si>
  <si>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</si>
  <si>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</si>
  <si>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</si>
  <si>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</si>
  <si>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</si>
  <si>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</si>
  <si>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</si>
  <si>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</si>
  <si>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</si>
  <si>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</si>
  <si>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</si>
  <si>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</si>
  <si>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</si>
  <si>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Tjenestemandspensioner</t>
  </si>
  <si>
    <t>Erstatninger</t>
  </si>
  <si>
    <t>FSH Byggemodninger 2022</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</si>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</sst>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70" zoomScaleNormal="100" zoomScalePageLayoutView="7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08" t="s">
        <v>252</v>
      </c>
      <c r="E8" s="108"/>
      <c r="F8" s="108"/>
      <c r="G8" s="108"/>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5"/>
      <c r="I12" s="1"/>
    </row>
    <row r="13" spans="1:9" x14ac:dyDescent="0.25">
      <c r="A13" s="1"/>
      <c r="B13" s="1"/>
      <c r="C13" s="6" t="s">
        <v>6</v>
      </c>
      <c r="D13" s="109" t="s">
        <v>196</v>
      </c>
      <c r="E13" s="110"/>
      <c r="F13" s="110"/>
      <c r="G13" s="111"/>
      <c r="H13" s="5"/>
      <c r="I13" s="1"/>
    </row>
    <row r="14" spans="1:9" x14ac:dyDescent="0.25">
      <c r="A14" s="1"/>
      <c r="B14" s="1"/>
      <c r="C14" s="6" t="s">
        <v>16</v>
      </c>
      <c r="D14" s="100" t="s">
        <v>197</v>
      </c>
      <c r="E14" s="101"/>
      <c r="F14" s="101"/>
      <c r="G14" s="102"/>
      <c r="H14" s="5"/>
      <c r="I14" s="1"/>
    </row>
    <row r="15" spans="1:9" x14ac:dyDescent="0.25">
      <c r="A15" s="1"/>
      <c r="B15" s="1"/>
      <c r="C15" s="6" t="s">
        <v>31</v>
      </c>
      <c r="D15" s="100" t="s">
        <v>262</v>
      </c>
      <c r="E15" s="101"/>
      <c r="F15" s="101"/>
      <c r="G15" s="102"/>
      <c r="H15" s="5"/>
      <c r="I15" s="1"/>
    </row>
    <row r="16" spans="1:9" x14ac:dyDescent="0.25">
      <c r="A16" s="1"/>
      <c r="B16" s="1"/>
      <c r="C16" s="6" t="s">
        <v>32</v>
      </c>
      <c r="D16" s="100" t="s">
        <v>263</v>
      </c>
      <c r="E16" s="101"/>
      <c r="F16" s="101"/>
      <c r="G16" s="102"/>
      <c r="H16" s="5"/>
      <c r="I16" s="1"/>
    </row>
    <row r="17" spans="1:9" x14ac:dyDescent="0.25">
      <c r="A17" s="1"/>
      <c r="B17" s="1"/>
      <c r="C17" s="6" t="s">
        <v>101</v>
      </c>
      <c r="D17" s="100" t="s">
        <v>198</v>
      </c>
      <c r="E17" s="101"/>
      <c r="F17" s="101"/>
      <c r="G17" s="102"/>
      <c r="H17" s="5"/>
      <c r="I17" s="1"/>
    </row>
    <row r="18" spans="1:9" x14ac:dyDescent="0.25">
      <c r="A18" s="1"/>
      <c r="B18" s="1"/>
      <c r="C18" s="6" t="s">
        <v>88</v>
      </c>
      <c r="D18" s="97" t="s">
        <v>79</v>
      </c>
      <c r="E18" s="98"/>
      <c r="F18" s="98"/>
      <c r="G18" s="99"/>
      <c r="H18" s="5"/>
      <c r="I18" s="1"/>
    </row>
    <row r="19" spans="1:9" x14ac:dyDescent="0.25">
      <c r="A19" s="1"/>
      <c r="B19" s="1"/>
      <c r="C19" s="6" t="s">
        <v>89</v>
      </c>
      <c r="D19" s="97" t="s">
        <v>80</v>
      </c>
      <c r="E19" s="98"/>
      <c r="F19" s="98"/>
      <c r="G19" s="99"/>
      <c r="H19" s="5"/>
      <c r="I19" s="1"/>
    </row>
    <row r="20" spans="1:9" x14ac:dyDescent="0.25">
      <c r="A20" s="1"/>
      <c r="B20" s="1"/>
      <c r="C20" s="6" t="s">
        <v>7</v>
      </c>
      <c r="D20" s="97" t="s">
        <v>10</v>
      </c>
      <c r="E20" s="98"/>
      <c r="F20" s="98"/>
      <c r="G20" s="99"/>
      <c r="H20" s="5"/>
      <c r="I20" s="1"/>
    </row>
    <row r="21" spans="1:9" x14ac:dyDescent="0.25">
      <c r="A21" s="1"/>
      <c r="B21" s="1"/>
      <c r="C21" s="6" t="s">
        <v>90</v>
      </c>
      <c r="D21" s="104" t="s">
        <v>12</v>
      </c>
      <c r="E21" s="105"/>
      <c r="F21" s="105"/>
      <c r="G21" s="106"/>
      <c r="H21" s="5"/>
      <c r="I21" s="1"/>
    </row>
    <row r="22" spans="1:9" x14ac:dyDescent="0.25">
      <c r="A22" s="1"/>
      <c r="B22" s="1"/>
      <c r="C22" s="6" t="s">
        <v>71</v>
      </c>
      <c r="D22" s="91" t="s">
        <v>199</v>
      </c>
      <c r="E22" s="92"/>
      <c r="F22" s="92"/>
      <c r="G22" s="93"/>
      <c r="H22" s="5"/>
      <c r="I22" s="1"/>
    </row>
    <row r="23" spans="1:9" x14ac:dyDescent="0.25">
      <c r="A23" s="1"/>
      <c r="B23" s="1"/>
      <c r="C23" s="6" t="s">
        <v>8</v>
      </c>
      <c r="D23" s="91" t="s">
        <v>181</v>
      </c>
      <c r="E23" s="92"/>
      <c r="F23" s="92"/>
      <c r="G23" s="93"/>
      <c r="H23" s="5"/>
      <c r="I23" s="1"/>
    </row>
    <row r="24" spans="1:9" x14ac:dyDescent="0.25">
      <c r="A24" s="1"/>
      <c r="B24" s="1"/>
      <c r="C24" s="6" t="s">
        <v>9</v>
      </c>
      <c r="D24" s="91" t="s">
        <v>200</v>
      </c>
      <c r="E24" s="92"/>
      <c r="F24" s="92"/>
      <c r="G24" s="93"/>
      <c r="H24" s="5"/>
      <c r="I24" s="1"/>
    </row>
    <row r="25" spans="1:9" x14ac:dyDescent="0.25">
      <c r="A25" s="1"/>
      <c r="B25" s="1"/>
      <c r="C25" s="6" t="s">
        <v>166</v>
      </c>
      <c r="D25" s="91" t="s">
        <v>160</v>
      </c>
      <c r="E25" s="92"/>
      <c r="F25" s="92"/>
      <c r="G25" s="93"/>
      <c r="H25" s="1"/>
      <c r="I25" s="1"/>
    </row>
    <row r="26" spans="1:9" x14ac:dyDescent="0.25">
      <c r="A26" s="1"/>
      <c r="B26" s="1"/>
      <c r="C26" s="6" t="s">
        <v>167</v>
      </c>
      <c r="D26" s="91" t="s">
        <v>72</v>
      </c>
      <c r="E26" s="92"/>
      <c r="F26" s="92"/>
      <c r="G26" s="93"/>
      <c r="H26" s="1"/>
      <c r="I26" s="1"/>
    </row>
    <row r="27" spans="1:9" x14ac:dyDescent="0.25">
      <c r="A27" s="1"/>
      <c r="B27" s="1"/>
      <c r="C27" s="6" t="s">
        <v>168</v>
      </c>
      <c r="D27" s="91" t="s">
        <v>73</v>
      </c>
      <c r="E27" s="92"/>
      <c r="F27" s="92"/>
      <c r="G27" s="93"/>
      <c r="H27" s="1"/>
      <c r="I27" s="1"/>
    </row>
    <row r="28" spans="1:9" x14ac:dyDescent="0.25">
      <c r="A28" s="1"/>
      <c r="B28" s="1"/>
      <c r="C28" s="6" t="s">
        <v>15</v>
      </c>
      <c r="D28" s="91" t="s">
        <v>74</v>
      </c>
      <c r="E28" s="92"/>
      <c r="F28" s="92"/>
      <c r="G28" s="93"/>
      <c r="H28" s="1"/>
      <c r="I28" s="1"/>
    </row>
    <row r="29" spans="1:9" x14ac:dyDescent="0.25">
      <c r="A29" s="1"/>
      <c r="B29" s="1"/>
      <c r="C29" s="6" t="s">
        <v>34</v>
      </c>
      <c r="D29" s="91" t="s">
        <v>114</v>
      </c>
      <c r="E29" s="92"/>
      <c r="F29" s="92"/>
      <c r="G29" s="93"/>
      <c r="H29" s="1"/>
      <c r="I29" s="1"/>
    </row>
    <row r="30" spans="1:9" x14ac:dyDescent="0.25">
      <c r="A30" s="1"/>
      <c r="B30" s="1"/>
      <c r="C30" s="6" t="s">
        <v>35</v>
      </c>
      <c r="D30" s="91" t="s">
        <v>33</v>
      </c>
      <c r="E30" s="92"/>
      <c r="F30" s="92"/>
      <c r="G30" s="93"/>
      <c r="H30" s="1"/>
      <c r="I30" s="1"/>
    </row>
    <row r="31" spans="1:9" x14ac:dyDescent="0.25">
      <c r="A31" s="1"/>
      <c r="B31" s="1"/>
      <c r="C31" s="6" t="s">
        <v>169</v>
      </c>
      <c r="D31" s="94" t="s">
        <v>87</v>
      </c>
      <c r="E31" s="95"/>
      <c r="F31" s="95"/>
      <c r="G31" s="9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VS03nzEDF1Nl3vFDnkPF2QA5VFTshAFAKQj3SE5t6SmBxqzJVJ90tv4Eoh0wUTmDkIiRpNyrGY/lSbm/yfBzPQ==" saltValue="K8QBG6KDHJQqWjaNJd72c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3" t="s">
        <v>272</v>
      </c>
      <c r="C10" s="9">
        <v>1229103</v>
      </c>
      <c r="D10" s="14" t="s">
        <v>3</v>
      </c>
      <c r="E10" s="1"/>
      <c r="F10" s="1"/>
    </row>
    <row r="11" spans="1:6" ht="15" customHeight="1" x14ac:dyDescent="0.25">
      <c r="A11" s="1"/>
      <c r="B11" s="83" t="s">
        <v>273</v>
      </c>
      <c r="C11" s="9">
        <v>129880</v>
      </c>
      <c r="D11" s="14" t="s">
        <v>3</v>
      </c>
      <c r="E11" s="1"/>
      <c r="F11" s="1"/>
    </row>
    <row r="12" spans="1:6" ht="26.25" x14ac:dyDescent="0.25">
      <c r="A12" s="1"/>
      <c r="B12" s="29" t="s">
        <v>274</v>
      </c>
      <c r="C12" s="9">
        <v>31935</v>
      </c>
      <c r="D12" s="14" t="s">
        <v>3</v>
      </c>
      <c r="E12" s="1"/>
      <c r="F12" s="1"/>
    </row>
    <row r="13" spans="1:6" x14ac:dyDescent="0.25">
      <c r="A13" s="1"/>
      <c r="B13" s="83" t="s">
        <v>275</v>
      </c>
      <c r="C13" s="9">
        <v>557574</v>
      </c>
      <c r="D13" s="14" t="s">
        <v>3</v>
      </c>
      <c r="E13" s="1"/>
      <c r="F13" s="1"/>
    </row>
    <row r="14" spans="1:6" x14ac:dyDescent="0.25">
      <c r="A14" s="1"/>
      <c r="B14" s="83" t="s">
        <v>276</v>
      </c>
      <c r="C14" s="9">
        <v>415117</v>
      </c>
      <c r="D14" s="14" t="s">
        <v>3</v>
      </c>
      <c r="E14" s="1"/>
      <c r="F14" s="1"/>
    </row>
    <row r="15" spans="1:6" x14ac:dyDescent="0.25">
      <c r="A15" s="1"/>
      <c r="B15" s="83" t="s">
        <v>277</v>
      </c>
      <c r="C15" s="9">
        <v>92340</v>
      </c>
      <c r="D15" s="14" t="s">
        <v>3</v>
      </c>
      <c r="E15" s="1"/>
      <c r="F15" s="1"/>
    </row>
    <row r="16" spans="1:6" x14ac:dyDescent="0.25">
      <c r="A16" s="1"/>
      <c r="B16" s="83"/>
      <c r="C16" s="9"/>
      <c r="D16" s="14" t="s">
        <v>3</v>
      </c>
      <c r="E16" s="1"/>
      <c r="F16" s="1"/>
    </row>
    <row r="17" spans="1:6" x14ac:dyDescent="0.25">
      <c r="A17" s="1"/>
      <c r="B17" s="83"/>
      <c r="C17" s="9"/>
      <c r="D17" s="14" t="s">
        <v>3</v>
      </c>
      <c r="E17" s="1"/>
      <c r="F17" s="1"/>
    </row>
    <row r="18" spans="1:6" x14ac:dyDescent="0.25">
      <c r="A18" s="1"/>
      <c r="B18" s="83"/>
      <c r="C18" s="9"/>
      <c r="D18" s="14" t="s">
        <v>3</v>
      </c>
      <c r="E18" s="1"/>
      <c r="F18" s="1"/>
    </row>
    <row r="19" spans="1:6" x14ac:dyDescent="0.25">
      <c r="A19" s="1"/>
      <c r="B19" s="83"/>
      <c r="C19" s="9"/>
      <c r="D19" s="14" t="s">
        <v>3</v>
      </c>
      <c r="E19" s="1"/>
      <c r="F19" s="1"/>
    </row>
    <row r="20" spans="1:6" x14ac:dyDescent="0.25">
      <c r="A20" s="1"/>
      <c r="B20" s="33" t="s">
        <v>226</v>
      </c>
      <c r="C20" s="12">
        <f>SUM(C10:C19)</f>
        <v>2455949</v>
      </c>
      <c r="D20" s="13" t="s">
        <v>3</v>
      </c>
      <c r="E20" s="1"/>
      <c r="F20" s="1"/>
    </row>
    <row r="21" spans="1:6" x14ac:dyDescent="0.25">
      <c r="A21" s="1"/>
      <c r="B21" s="33" t="s">
        <v>227</v>
      </c>
      <c r="C21" s="12">
        <f>C20*(1+'Fane 15. Nøgletal'!C16)^2</f>
        <v>2868864.3652793597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3" t="s">
        <v>109</v>
      </c>
      <c r="C25" s="9">
        <v>10000</v>
      </c>
      <c r="D25" s="14" t="s">
        <v>3</v>
      </c>
      <c r="E25" s="1"/>
      <c r="F25" s="1"/>
    </row>
    <row r="26" spans="1:6" x14ac:dyDescent="0.25">
      <c r="A26" s="1"/>
      <c r="B26" s="83" t="s">
        <v>123</v>
      </c>
      <c r="C26" s="9">
        <v>10000</v>
      </c>
      <c r="D26" s="14" t="s">
        <v>3</v>
      </c>
      <c r="E26" s="1"/>
      <c r="F26" s="1"/>
    </row>
    <row r="27" spans="1:6" x14ac:dyDescent="0.25">
      <c r="A27" s="1"/>
      <c r="B27" s="83" t="s">
        <v>142</v>
      </c>
      <c r="C27" s="9">
        <v>10000</v>
      </c>
      <c r="D27" s="14" t="s">
        <v>3</v>
      </c>
      <c r="E27" s="1"/>
      <c r="F27" s="1"/>
    </row>
    <row r="28" spans="1:6" x14ac:dyDescent="0.25">
      <c r="A28" s="1"/>
      <c r="B28" s="34" t="s">
        <v>261</v>
      </c>
      <c r="C28" s="9">
        <v>10000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3" t="s">
        <v>109</v>
      </c>
      <c r="C33" s="9">
        <v>1576157</v>
      </c>
      <c r="D33" s="14" t="s">
        <v>3</v>
      </c>
      <c r="E33" s="1"/>
      <c r="F33" s="1"/>
    </row>
    <row r="34" spans="1:6" x14ac:dyDescent="0.25">
      <c r="A34" s="1"/>
      <c r="B34" s="83" t="s">
        <v>123</v>
      </c>
      <c r="C34" s="9">
        <v>0</v>
      </c>
      <c r="D34" s="14" t="s">
        <v>3</v>
      </c>
      <c r="E34" s="1"/>
      <c r="F34" s="1"/>
    </row>
    <row r="35" spans="1:6" x14ac:dyDescent="0.25">
      <c r="A35" s="1"/>
      <c r="B35" s="83"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fvLAn/9XdUaP/tCKJ0YmpD5l4Q+gUL8Xix65vgS5yS4mW26VwG3QvbcRZ1p6n9u2Ar9IAm+IDXqmb3ynb+TQ2w==" saltValue="FwqvzkuP0hrYNnumADV5c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D97F-216F-4954-B489-9D0A891C5643}">
  <sheetPr codeName="Ark12"/>
  <dimension ref="A1:G51"/>
  <sheetViews>
    <sheetView showGridLines="0" view="pageLayout" zoomScale="55" zoomScaleNormal="100" zoomScalePageLayoutView="55"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279</v>
      </c>
      <c r="C9" s="120"/>
      <c r="D9" s="121"/>
      <c r="E9" s="9">
        <v>4560794</v>
      </c>
      <c r="F9" s="14" t="s">
        <v>3</v>
      </c>
      <c r="G9" s="1"/>
    </row>
    <row r="10" spans="1:7" ht="15" customHeight="1" x14ac:dyDescent="0.25">
      <c r="A10" s="1"/>
      <c r="B10" s="119" t="s">
        <v>143</v>
      </c>
      <c r="C10" s="120"/>
      <c r="D10" s="121"/>
      <c r="E10" s="9">
        <v>-13471957</v>
      </c>
      <c r="F10" s="14" t="s">
        <v>3</v>
      </c>
      <c r="G10" s="1"/>
    </row>
    <row r="11" spans="1:7" ht="15" customHeight="1" x14ac:dyDescent="0.25">
      <c r="A11" s="1"/>
      <c r="B11" s="119" t="s">
        <v>280</v>
      </c>
      <c r="C11" s="120"/>
      <c r="D11" s="121"/>
      <c r="E11" s="9">
        <v>152833</v>
      </c>
      <c r="F11" s="14" t="s">
        <v>3</v>
      </c>
      <c r="G11" s="1"/>
    </row>
    <row r="12" spans="1:7" x14ac:dyDescent="0.25">
      <c r="A12" s="1"/>
      <c r="B12" s="33"/>
      <c r="C12" s="28"/>
      <c r="D12" s="28"/>
      <c r="E12" s="28"/>
      <c r="F12" s="19"/>
      <c r="G12" s="1"/>
    </row>
    <row r="13" spans="1:7" ht="42" customHeight="1" x14ac:dyDescent="0.25">
      <c r="A13" s="1"/>
      <c r="B13" s="128" t="s">
        <v>281</v>
      </c>
      <c r="C13" s="129"/>
      <c r="D13" s="129"/>
      <c r="E13" s="129"/>
      <c r="F13" s="130"/>
      <c r="G13" s="1"/>
    </row>
    <row r="14" spans="1:7" ht="15" customHeight="1" x14ac:dyDescent="0.25">
      <c r="A14" s="1"/>
      <c r="B14" s="1"/>
      <c r="C14" s="1"/>
      <c r="D14" s="1"/>
      <c r="E14" s="1"/>
      <c r="F14" s="1"/>
      <c r="G14" s="1"/>
    </row>
    <row r="15" spans="1:7" x14ac:dyDescent="0.25">
      <c r="A15" s="1"/>
      <c r="B15" s="77" t="s">
        <v>282</v>
      </c>
      <c r="C15" s="78"/>
      <c r="D15" s="78"/>
      <c r="E15" s="78"/>
      <c r="F15" s="79"/>
      <c r="G15" s="1"/>
    </row>
    <row r="16" spans="1:7" x14ac:dyDescent="0.25">
      <c r="A16" s="1"/>
      <c r="B16" s="80" t="s">
        <v>283</v>
      </c>
      <c r="C16" s="81"/>
      <c r="D16" s="82"/>
      <c r="E16" s="9">
        <f>IF(E11&lt;0,E11,0)</f>
        <v>0</v>
      </c>
      <c r="F16" s="14" t="s">
        <v>3</v>
      </c>
      <c r="G16" s="1"/>
    </row>
    <row r="17" spans="1:7" x14ac:dyDescent="0.25">
      <c r="A17" s="1"/>
      <c r="B17" s="80" t="s">
        <v>284</v>
      </c>
      <c r="C17" s="81"/>
      <c r="D17" s="82"/>
      <c r="E17" s="9">
        <f>IF(SUM(E10)&gt;0,SUM(E10),0)</f>
        <v>0</v>
      </c>
      <c r="F17" s="14" t="s">
        <v>3</v>
      </c>
      <c r="G17" s="1"/>
    </row>
    <row r="18" spans="1:7" x14ac:dyDescent="0.25">
      <c r="A18" s="1"/>
      <c r="B18" s="84" t="s">
        <v>285</v>
      </c>
      <c r="C18" s="85"/>
      <c r="D18" s="86"/>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7" t="s">
        <v>286</v>
      </c>
      <c r="C21" s="78"/>
      <c r="D21" s="78"/>
      <c r="E21" s="78"/>
      <c r="F21" s="79"/>
      <c r="G21" s="1"/>
    </row>
    <row r="22" spans="1:7" x14ac:dyDescent="0.25">
      <c r="A22" s="1"/>
      <c r="B22" s="80" t="s">
        <v>287</v>
      </c>
      <c r="C22" s="81"/>
      <c r="D22" s="82"/>
      <c r="E22" s="9">
        <v>108173938</v>
      </c>
      <c r="F22" s="14" t="s">
        <v>3</v>
      </c>
      <c r="G22" s="1"/>
    </row>
    <row r="23" spans="1:7" x14ac:dyDescent="0.25">
      <c r="A23" s="1"/>
      <c r="B23" s="80" t="s">
        <v>288</v>
      </c>
      <c r="C23" s="81"/>
      <c r="D23" s="82"/>
      <c r="E23" s="9">
        <v>104993826</v>
      </c>
      <c r="F23" s="14" t="s">
        <v>3</v>
      </c>
      <c r="G23" s="1"/>
    </row>
    <row r="24" spans="1:7" x14ac:dyDescent="0.25">
      <c r="A24" s="1"/>
      <c r="B24" s="80" t="s">
        <v>30</v>
      </c>
      <c r="C24" s="81"/>
      <c r="D24" s="82"/>
      <c r="E24" s="9">
        <v>0</v>
      </c>
      <c r="F24" s="14" t="s">
        <v>3</v>
      </c>
      <c r="G24" s="1"/>
    </row>
    <row r="25" spans="1:7" x14ac:dyDescent="0.25">
      <c r="A25" s="1"/>
      <c r="B25" s="84" t="s">
        <v>289</v>
      </c>
      <c r="C25" s="85"/>
      <c r="D25" s="86"/>
      <c r="E25" s="62">
        <f>E22-E23-E24</f>
        <v>3180112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290</v>
      </c>
      <c r="C28" s="117"/>
      <c r="D28" s="117"/>
      <c r="E28" s="117"/>
      <c r="F28" s="118"/>
      <c r="G28" s="1"/>
    </row>
    <row r="29" spans="1:7" x14ac:dyDescent="0.25">
      <c r="A29" s="1"/>
      <c r="B29" s="134" t="s">
        <v>116</v>
      </c>
      <c r="C29" s="135"/>
      <c r="D29" s="136"/>
      <c r="E29" s="9">
        <f>IF(E18&lt;0,IF(E25&lt;0,SUM(E18,E25),IF(E10&gt;0,SUM(E10:E11),E18)),IF(AND(E25&lt;0,SUM(E25,E11)&lt;0),IF(E11&lt;0,E25,IF(SUM(E10:E11)&gt;0,SUM(E25,E11),IF(AND(E25&lt;0,E18=0,E11&gt;0),IF(SUM(E9:E11)&gt;0,E25+E11,E25)))),0))</f>
        <v>0</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0</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fMge4rohbmATHVKfnYQSLu+A10unbc9cbjLDTIoaK8q0FLd6qN4k+93mQt2GRoxqa+xC/Wr7CvJbhDQbTOMgEA==" saltValue="R+aYsF469zTW7oZ98LFV8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55" zoomScaleNormal="100" zoomScalePageLayoutView="55"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BN5oU7VIhH9EO7HUW1dhpaXGMM2+3vM4aCrh8O3dOB4KSiXMiCo4ZO7EDInWSE2aq9qp1aKOvUjQ0MzCQlZw==" saltValue="5PJI1VDdJ5cJMIKO9NUP2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70" zoomScaleNormal="100" zoomScalePageLayoutView="7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28" t="s">
        <v>82</v>
      </c>
      <c r="C10" s="129"/>
      <c r="D10" s="130"/>
      <c r="E10" s="7">
        <v>0</v>
      </c>
      <c r="F10" s="8" t="s">
        <v>3</v>
      </c>
      <c r="G10" s="1"/>
    </row>
    <row r="11" spans="1:7" x14ac:dyDescent="0.25">
      <c r="A11" s="1"/>
      <c r="B11" s="119" t="s">
        <v>229</v>
      </c>
      <c r="C11" s="120"/>
      <c r="D11" s="121"/>
      <c r="E11" s="7">
        <v>0</v>
      </c>
      <c r="F11" s="8" t="s">
        <v>3</v>
      </c>
      <c r="G11" s="1"/>
    </row>
    <row r="12" spans="1:7" x14ac:dyDescent="0.25">
      <c r="A12" s="1"/>
      <c r="B12" s="137" t="s">
        <v>83</v>
      </c>
      <c r="C12" s="138"/>
      <c r="D12" s="139"/>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10000</v>
      </c>
      <c r="F14" s="8" t="s">
        <v>3</v>
      </c>
      <c r="G14" s="1"/>
    </row>
    <row r="15" spans="1:7" x14ac:dyDescent="0.25">
      <c r="A15" s="1"/>
      <c r="B15" s="128" t="s">
        <v>231</v>
      </c>
      <c r="C15" s="129"/>
      <c r="D15" s="130"/>
      <c r="E15" s="7">
        <v>0</v>
      </c>
      <c r="F15" s="8" t="s">
        <v>3</v>
      </c>
      <c r="G15" s="1"/>
    </row>
    <row r="16" spans="1:7" x14ac:dyDescent="0.25">
      <c r="A16" s="1"/>
      <c r="B16" s="137" t="s">
        <v>83</v>
      </c>
      <c r="C16" s="138"/>
      <c r="D16" s="139"/>
      <c r="E16" s="10">
        <f>E15-E14</f>
        <v>-10000</v>
      </c>
      <c r="F16" s="11" t="s">
        <v>3</v>
      </c>
      <c r="G16" s="1"/>
    </row>
    <row r="17" spans="1:7" x14ac:dyDescent="0.25">
      <c r="A17" s="1"/>
      <c r="B17" s="33" t="s">
        <v>232</v>
      </c>
      <c r="C17" s="28"/>
      <c r="D17" s="28"/>
      <c r="E17" s="12">
        <f>E12+E16</f>
        <v>-10000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q3X4zsb1ECfl/keeGEYLFhb3fB4SYd08CRKxzpRzWswGPBceUxLuh2cGHMDicmDi1A0J6UuKRdoxgRwbP7ZiQ==" saltValue="jfkAAtbTbnTX8de+u1w1y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55" zoomScaleNormal="100" zoomScalePageLayoutView="55"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7" t="s">
        <v>265</v>
      </c>
      <c r="C10" s="45">
        <v>0</v>
      </c>
      <c r="D10" s="9">
        <v>0</v>
      </c>
      <c r="E10" s="14" t="s">
        <v>3</v>
      </c>
      <c r="F10" s="9">
        <f>IFERROR(D10/C10,0)</f>
        <v>0</v>
      </c>
      <c r="G10" s="14" t="s">
        <v>3</v>
      </c>
      <c r="H10" s="41">
        <v>0</v>
      </c>
      <c r="I10" s="14" t="s">
        <v>3</v>
      </c>
      <c r="J10" s="41">
        <v>0</v>
      </c>
      <c r="K10" s="14" t="s">
        <v>3</v>
      </c>
      <c r="L10" s="1"/>
    </row>
    <row r="11" spans="1:12" x14ac:dyDescent="0.25">
      <c r="A11" s="1"/>
      <c r="B11" s="77" t="s">
        <v>150</v>
      </c>
      <c r="C11" s="78"/>
      <c r="D11" s="79"/>
      <c r="E11" s="79"/>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21PNUZoRN7ZsznM44JpJAtufK+GDjELh+dBCJ7JlcvRXpS/glGjU4bjKGoqWv50IpBnp/X6E//EOmTssN77i2w==" saltValue="VrCDqqKl2215uz2UeYHuE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8" t="s">
        <v>17</v>
      </c>
      <c r="C9" s="88" t="s">
        <v>11</v>
      </c>
      <c r="D9" s="89"/>
      <c r="E9" s="88"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278</v>
      </c>
      <c r="C11" s="21">
        <v>98591</v>
      </c>
      <c r="D11" s="14" t="s">
        <v>3</v>
      </c>
      <c r="E11" s="9">
        <v>292768</v>
      </c>
      <c r="F11" s="14" t="s">
        <v>3</v>
      </c>
      <c r="G11" s="1"/>
    </row>
    <row r="12" spans="1:7" x14ac:dyDescent="0.25">
      <c r="A12" s="1"/>
      <c r="B12" s="24" t="s">
        <v>74</v>
      </c>
      <c r="C12" s="21">
        <v>18986</v>
      </c>
      <c r="D12" s="14" t="s">
        <v>3</v>
      </c>
      <c r="E12" s="9">
        <v>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117577</v>
      </c>
      <c r="D19" s="13" t="s">
        <v>3</v>
      </c>
      <c r="E19" s="12">
        <f>SUM(E10:E18)</f>
        <v>292768</v>
      </c>
      <c r="F19" s="13" t="s">
        <v>3</v>
      </c>
      <c r="G19" s="1"/>
    </row>
    <row r="20" spans="1:7" x14ac:dyDescent="0.25">
      <c r="A20" s="1"/>
      <c r="B20" s="33" t="s">
        <v>233</v>
      </c>
      <c r="C20" s="12">
        <f>C19*(1+'Fane 15. Nøgletal'!C16)</f>
        <v>127077.2216</v>
      </c>
      <c r="D20" s="13" t="s">
        <v>3</v>
      </c>
      <c r="E20" s="12">
        <f>E19*(1+'Fane 15. Nøgletal'!C16)</f>
        <v>316423.6544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yserMbiIfuMgpaLrp+wxUsg5wISjetZa1E+khGOK6p0j2tXdG88WM/V/aSQdu2hnpacN9pmR+ifqWihSNJFLw==" saltValue="DsBwHrTHNk8uRZKm+PSBm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8" t="s">
        <v>17</v>
      </c>
      <c r="C9" s="88" t="s">
        <v>11</v>
      </c>
      <c r="D9" s="89"/>
      <c r="E9" s="88" t="s">
        <v>28</v>
      </c>
      <c r="F9" s="32"/>
      <c r="G9" s="1"/>
    </row>
    <row r="10" spans="1:7" x14ac:dyDescent="0.25">
      <c r="A10" s="1"/>
      <c r="B10" s="24" t="s">
        <v>74</v>
      </c>
      <c r="C10" s="21">
        <v>284785</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284785</v>
      </c>
      <c r="D13" s="13" t="s">
        <v>3</v>
      </c>
      <c r="E13" s="12">
        <f>SUM(E10:E12)</f>
        <v>0</v>
      </c>
      <c r="F13" s="13" t="s">
        <v>3</v>
      </c>
      <c r="G13" s="1"/>
    </row>
    <row r="14" spans="1:7" x14ac:dyDescent="0.25">
      <c r="A14" s="1"/>
      <c r="B14" s="33" t="s">
        <v>235</v>
      </c>
      <c r="C14" s="12">
        <f>C13*(1+'Fane 15. Nøgletal'!C16)^2</f>
        <v>332665.51474239997</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1"/>
      <c r="C23" s="151"/>
      <c r="D23" s="151"/>
      <c r="E23" s="151"/>
      <c r="F23" s="151"/>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1"/>
      <c r="C30" s="151"/>
      <c r="D30" s="151"/>
      <c r="E30" s="151"/>
      <c r="F30" s="151"/>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wKbEombHW7WJ2lX+Bsurf6iQEykC8kXBqQM0f4EjOv3RegSkDzoKT5UalAdGO8Lkd/Y4fglyLI7WlzCVJGYXw==" saltValue="RU8qZcx8EFE8bK9bNKuxZ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3" t="s">
        <v>236</v>
      </c>
      <c r="C10" s="144"/>
      <c r="D10" s="145"/>
      <c r="E10" s="9">
        <v>1790363.9396295955</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-35807.278792591911</v>
      </c>
      <c r="F12" s="14" t="s">
        <v>3</v>
      </c>
      <c r="G12" s="1"/>
    </row>
    <row r="13" spans="1:7" x14ac:dyDescent="0.25">
      <c r="A13" s="1"/>
      <c r="B13" s="116" t="s">
        <v>111</v>
      </c>
      <c r="C13" s="117"/>
      <c r="D13" s="118"/>
      <c r="E13" s="12">
        <f>SUM(E10:E12)*(1+'Fane 15. Nøgletal'!C16)^2</f>
        <v>2049547.88602647</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3" t="s">
        <v>236</v>
      </c>
      <c r="C16" s="144"/>
      <c r="D16" s="145"/>
      <c r="E16" s="9">
        <v>1790363.9396295955</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-35807.278792591911</v>
      </c>
      <c r="F18" s="14" t="s">
        <v>3</v>
      </c>
      <c r="G18" s="1"/>
    </row>
    <row r="19" spans="1:7" x14ac:dyDescent="0.25">
      <c r="A19" s="1"/>
      <c r="B19" s="116" t="s">
        <v>125</v>
      </c>
      <c r="C19" s="117"/>
      <c r="D19" s="118"/>
      <c r="E19" s="12">
        <f>SUM(E16:E18)*(1+'Fane 15. Nøgletal'!C16)^3</f>
        <v>2215151.3552174089</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3" t="s">
        <v>236</v>
      </c>
      <c r="C22" s="144"/>
      <c r="D22" s="145"/>
      <c r="E22" s="9">
        <v>1790363.9396295955</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-35807.278792591911</v>
      </c>
      <c r="F24" s="14" t="s">
        <v>3</v>
      </c>
      <c r="G24" s="1"/>
    </row>
    <row r="25" spans="1:7" x14ac:dyDescent="0.25">
      <c r="A25" s="1"/>
      <c r="B25" s="116" t="s">
        <v>146</v>
      </c>
      <c r="C25" s="117"/>
      <c r="D25" s="118"/>
      <c r="E25" s="12">
        <f>SUM(E22:E24)*(1+'Fane 15. Nøgletal'!C16)^4</f>
        <v>2394135.5847189752</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3" t="s">
        <v>236</v>
      </c>
      <c r="C28" s="144"/>
      <c r="D28" s="145"/>
      <c r="E28" s="9">
        <v>1790363.9396295955</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-35807.278792591911</v>
      </c>
      <c r="F30" s="14" t="s">
        <v>3</v>
      </c>
      <c r="G30" s="1"/>
    </row>
    <row r="31" spans="1:7" x14ac:dyDescent="0.25">
      <c r="A31" s="1"/>
      <c r="B31" s="116" t="s">
        <v>238</v>
      </c>
      <c r="C31" s="117"/>
      <c r="D31" s="118"/>
      <c r="E31" s="12">
        <f>SUM(E28:E30)*(1+'Fane 15. Nøgletal'!C16)^5</f>
        <v>2587581.7399642682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kWMSx4VxbfjG0DbCCV9Vh7RL4PmxNckeFc4t7u92g9UVhKg5xyogARJKgFVPd1XmKtMYCOk+gFWW0gQEphnw==" saltValue="tZEyYKZjsYk6vztt75C+y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55" zoomScaleNormal="100" zoomScalePageLayoutView="55"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2"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ZQoZC3zuysHABfdoP4ewOxICxV2xTIZ9Y/5tQEdI3/mRqdR78c4lwJdf9aQ39FCaswcBf8+SX+haeefy0dN6Q==" saltValue="ecbyOyekdRifZhJPXVK6a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6" t="s">
        <v>11</v>
      </c>
      <c r="D10" s="148"/>
      <c r="E10" s="146" t="s">
        <v>28</v>
      </c>
      <c r="F10" s="148"/>
      <c r="G10" s="1"/>
    </row>
    <row r="11" spans="1:7" x14ac:dyDescent="0.25">
      <c r="A11" s="1"/>
      <c r="B11" s="72"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1"/>
      <c r="C21" s="151"/>
      <c r="D21" s="151"/>
      <c r="E21" s="151"/>
      <c r="F21" s="151"/>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1"/>
      <c r="C27" s="151"/>
      <c r="D27" s="151"/>
      <c r="E27" s="151"/>
      <c r="F27" s="151"/>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U/SgnCTljdU02gsZy7+LmVICgG+UmfKlth8G7JALbq92hFDCzhzJzy0QdKcrH9ERF603dEA+aou5U2PxMb2wcQ==" saltValue="kbvO9lCs4GGcv/BkqJWNa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103557508.04437816</v>
      </c>
      <c r="D9" s="8" t="s">
        <v>3</v>
      </c>
      <c r="E9" s="1"/>
    </row>
    <row r="10" spans="1:5" ht="17.25" customHeight="1" x14ac:dyDescent="0.25">
      <c r="A10" s="1"/>
      <c r="B10" s="90" t="s">
        <v>36</v>
      </c>
      <c r="C10" s="7">
        <f>'Fane 11.1. Varige tillæg'!C20</f>
        <v>127077.2216</v>
      </c>
      <c r="D10" s="8" t="s">
        <v>3</v>
      </c>
      <c r="E10" s="1"/>
    </row>
    <row r="11" spans="1:5" ht="17.25" customHeight="1" x14ac:dyDescent="0.25">
      <c r="A11" s="1"/>
      <c r="B11" s="90" t="s">
        <v>37</v>
      </c>
      <c r="C11" s="9">
        <f>'Fane 11.1. Varige tillæg'!E20</f>
        <v>316423.6544</v>
      </c>
      <c r="D11" s="8" t="s">
        <v>3</v>
      </c>
      <c r="E11" s="1"/>
    </row>
    <row r="12" spans="1:5" ht="17.25" customHeight="1" x14ac:dyDescent="0.25">
      <c r="A12" s="1"/>
      <c r="B12" s="90" t="s">
        <v>26</v>
      </c>
      <c r="C12" s="9">
        <f>-'Fane 14. Bortfald'!C13</f>
        <v>0</v>
      </c>
      <c r="D12" s="8" t="s">
        <v>3</v>
      </c>
      <c r="E12" s="1"/>
    </row>
    <row r="13" spans="1:5" ht="17.25" customHeight="1" x14ac:dyDescent="0.25">
      <c r="A13" s="1"/>
      <c r="B13" s="90" t="s">
        <v>25</v>
      </c>
      <c r="C13" s="9">
        <f>-'Fane 14. Bortfald'!E13</f>
        <v>0</v>
      </c>
      <c r="D13" s="8" t="s">
        <v>3</v>
      </c>
      <c r="E13" s="1"/>
    </row>
    <row r="14" spans="1:5" ht="17.25" customHeight="1" x14ac:dyDescent="0.25">
      <c r="A14" s="1"/>
      <c r="B14" s="90" t="s">
        <v>105</v>
      </c>
      <c r="C14" s="9">
        <f>'Fane 13. Tilknyttet virksomhed'!C14</f>
        <v>0</v>
      </c>
      <c r="D14" s="8" t="s">
        <v>3</v>
      </c>
      <c r="E14" s="1"/>
    </row>
    <row r="15" spans="1:5" ht="17.25" customHeight="1" x14ac:dyDescent="0.25">
      <c r="A15" s="1"/>
      <c r="B15" s="90" t="s">
        <v>106</v>
      </c>
      <c r="C15" s="9">
        <f>'Fane 13. Tilknyttet virksomhed'!E14</f>
        <v>0</v>
      </c>
      <c r="D15" s="8" t="s">
        <v>3</v>
      </c>
      <c r="E15" s="1"/>
    </row>
    <row r="16" spans="1:5" ht="17.25" customHeight="1" x14ac:dyDescent="0.25">
      <c r="A16" s="1"/>
      <c r="B16" s="90" t="s">
        <v>19</v>
      </c>
      <c r="C16" s="41">
        <f>SUM(C9)*'Fane 15. Nøgletal'!C16+SUM(C10:C15)*'Fane 15. Nøgletal'!C16</f>
        <v>8403281.5207665544</v>
      </c>
      <c r="D16" s="8" t="s">
        <v>3</v>
      </c>
      <c r="E16" s="1"/>
    </row>
    <row r="17" spans="1:5" ht="17.25" customHeight="1" x14ac:dyDescent="0.25">
      <c r="A17" s="1"/>
      <c r="B17" s="90" t="s">
        <v>10</v>
      </c>
      <c r="C17" s="41">
        <f>-SUM(C9,C10:C16)*'Fane 5. Individuelt eff. krav'!G9</f>
        <v>0</v>
      </c>
      <c r="D17" s="8" t="s">
        <v>3</v>
      </c>
      <c r="E17" s="1"/>
    </row>
    <row r="18" spans="1:5" ht="17.25" customHeight="1" x14ac:dyDescent="0.25">
      <c r="A18" s="1"/>
      <c r="B18" s="90" t="s">
        <v>23</v>
      </c>
      <c r="C18" s="41">
        <f>-'Fane 4.1. Gen. krav - drift'!G54</f>
        <v>-716951.19775997405</v>
      </c>
      <c r="D18" s="8" t="s">
        <v>3</v>
      </c>
      <c r="E18" s="1"/>
    </row>
    <row r="19" spans="1:5" ht="17.25" customHeight="1" x14ac:dyDescent="0.25">
      <c r="A19" s="1"/>
      <c r="B19" s="90" t="s">
        <v>24</v>
      </c>
      <c r="C19" s="41">
        <f>-'Fane 4.2. Gen. krav - anlæg'!G55</f>
        <v>0</v>
      </c>
      <c r="D19" s="8" t="s">
        <v>3</v>
      </c>
      <c r="E19" s="47"/>
    </row>
    <row r="20" spans="1:5" ht="17.25" customHeight="1" x14ac:dyDescent="0.25">
      <c r="A20" s="1"/>
      <c r="B20" s="84" t="s">
        <v>21</v>
      </c>
      <c r="C20" s="10">
        <f>SUM(C9:C19)</f>
        <v>111687339.24338475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4455021.3652793597</v>
      </c>
      <c r="D22" s="11" t="s">
        <v>3</v>
      </c>
      <c r="E22" s="1"/>
    </row>
    <row r="23" spans="1:5" ht="15" customHeight="1" x14ac:dyDescent="0.25">
      <c r="A23" s="1"/>
      <c r="B23" s="33" t="s">
        <v>74</v>
      </c>
      <c r="C23" s="28"/>
      <c r="D23" s="19"/>
      <c r="E23" s="1"/>
    </row>
    <row r="24" spans="1:5" ht="15" customHeight="1" x14ac:dyDescent="0.25">
      <c r="A24" s="1"/>
      <c r="B24" s="84" t="s">
        <v>74</v>
      </c>
      <c r="C24" s="10">
        <f>'Fane 12. Periodevise driftsomk.'!E13</f>
        <v>2049547.88602647</v>
      </c>
      <c r="D24" s="11" t="s">
        <v>3</v>
      </c>
      <c r="E24" s="1"/>
    </row>
    <row r="25" spans="1:5" ht="15" customHeight="1" x14ac:dyDescent="0.25">
      <c r="A25" s="1"/>
      <c r="B25" s="44" t="s">
        <v>73</v>
      </c>
      <c r="C25" s="42"/>
      <c r="D25" s="43"/>
      <c r="E25" s="1"/>
    </row>
    <row r="26" spans="1:5" ht="15" customHeight="1" x14ac:dyDescent="0.25">
      <c r="A26" s="1"/>
      <c r="B26" s="90" t="s">
        <v>158</v>
      </c>
      <c r="C26" s="66">
        <f>'Fane 11.2. Engangstillæg'!C14</f>
        <v>332665.51474239997</v>
      </c>
      <c r="D26" s="8" t="s">
        <v>3</v>
      </c>
      <c r="E26" s="1"/>
    </row>
    <row r="27" spans="1:5" ht="15" customHeight="1" x14ac:dyDescent="0.25">
      <c r="A27" s="1"/>
      <c r="B27" s="90" t="s">
        <v>70</v>
      </c>
      <c r="C27" s="73">
        <f>'Fane 11.2. Engangstillæg'!E14</f>
        <v>0</v>
      </c>
      <c r="D27" s="8" t="s">
        <v>3</v>
      </c>
      <c r="E27" s="1"/>
    </row>
    <row r="28" spans="1:5" ht="15" customHeight="1" x14ac:dyDescent="0.25">
      <c r="A28" s="1"/>
      <c r="B28" s="90" t="s">
        <v>161</v>
      </c>
      <c r="C28" s="66">
        <f>-C26*('Fane 15. Nøgletal'!C33+'Fane 5. Individuelt eff. krav'!G9)</f>
        <v>-6653.310294848</v>
      </c>
      <c r="D28" s="8" t="s">
        <v>3</v>
      </c>
      <c r="E28" s="1"/>
    </row>
    <row r="29" spans="1:5" ht="15" customHeight="1" x14ac:dyDescent="0.25">
      <c r="A29" s="1"/>
      <c r="B29" s="90" t="s">
        <v>162</v>
      </c>
      <c r="C29" s="73">
        <f>-C27*('Fane 15. Nøgletal'!C28+'Fane 5. Individuelt eff. krav'!G9)</f>
        <v>0</v>
      </c>
      <c r="D29" s="8" t="s">
        <v>3</v>
      </c>
      <c r="E29" s="1"/>
    </row>
    <row r="30" spans="1:5" ht="15" customHeight="1" x14ac:dyDescent="0.25">
      <c r="A30" s="1"/>
      <c r="B30" s="71" t="s">
        <v>75</v>
      </c>
      <c r="C30" s="10">
        <f>SUM(C26:C29)</f>
        <v>326012.20444755198</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-10000</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118507920.69913813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8NmcPyOMiiBUqANdh/Fyc2oQqkEG1vt64MAzRk12tP5vsDkqvINp6ELDldjWdCY5nqeIED8Au0otnj2NBlLTw==" saltValue="Y/6CvjeQhsgQvzJGsZyDf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40" zoomScaleNormal="100" zoomScalePageLayoutView="4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3" t="s">
        <v>94</v>
      </c>
      <c r="C9" s="25">
        <v>1.2699999999999999E-2</v>
      </c>
      <c r="D9" s="1"/>
    </row>
    <row r="10" spans="1:4" x14ac:dyDescent="0.25">
      <c r="A10" s="1"/>
      <c r="B10" s="83" t="s">
        <v>95</v>
      </c>
      <c r="C10" s="25">
        <v>1.7500000000000002E-2</v>
      </c>
      <c r="D10" s="1"/>
    </row>
    <row r="11" spans="1:4" x14ac:dyDescent="0.25">
      <c r="A11" s="1"/>
      <c r="B11" s="83"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3"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3" t="s">
        <v>96</v>
      </c>
      <c r="C21" s="22">
        <v>9.1000000000000004E-3</v>
      </c>
      <c r="D21" s="1"/>
    </row>
    <row r="22" spans="1:4" x14ac:dyDescent="0.25">
      <c r="A22" s="1"/>
      <c r="B22" s="83" t="s">
        <v>118</v>
      </c>
      <c r="C22" s="22">
        <v>1.77E-2</v>
      </c>
      <c r="D22" s="1"/>
    </row>
    <row r="23" spans="1:4" x14ac:dyDescent="0.25">
      <c r="A23" s="1"/>
      <c r="B23" s="83" t="s">
        <v>119</v>
      </c>
      <c r="C23" s="22">
        <v>8.6999999999999994E-3</v>
      </c>
      <c r="D23" s="1"/>
    </row>
    <row r="24" spans="1:4" x14ac:dyDescent="0.25">
      <c r="A24" s="1"/>
      <c r="B24" s="83" t="s">
        <v>97</v>
      </c>
      <c r="C24" s="36">
        <v>2.8400000000000002E-2</v>
      </c>
      <c r="D24" s="1"/>
    </row>
    <row r="25" spans="1:4" x14ac:dyDescent="0.25">
      <c r="A25" s="1"/>
      <c r="B25" s="83" t="s">
        <v>120</v>
      </c>
      <c r="C25" s="36">
        <v>2.75E-2</v>
      </c>
      <c r="D25" s="1"/>
    </row>
    <row r="26" spans="1:4" x14ac:dyDescent="0.25">
      <c r="A26" s="1"/>
      <c r="B26" s="83"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3"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H5i2gv9E6ELD5S05u2ivfP9Am6u2HnfcjGAkunWzWsi4NwWgvJhXQ5IrVMGFjByRNdtbyNHEto5QLZFzl3BEqQ==" saltValue="qYlYrLInYn116V/4izRe6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111687339.24338475</v>
      </c>
      <c r="D9" s="8" t="s">
        <v>3</v>
      </c>
      <c r="E9" s="1"/>
    </row>
    <row r="10" spans="1:5" ht="15" customHeight="1" x14ac:dyDescent="0.25">
      <c r="A10" s="1"/>
      <c r="B10" s="26" t="s">
        <v>19</v>
      </c>
      <c r="C10" s="7">
        <f>SUM(C9:C9)*'Fane 15. Nøgletal'!C16</f>
        <v>9024337.0108654872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-759383.23744820035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119952293.01680203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3110668.6059939321</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driftsomk.'!E19</f>
        <v>2215151.3552174089</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125278112.97801337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HCoPxyT8ErBUBfszRjhVZuDL+sLp7LQpnbtc5y9DljCEScrAphSqvDrBCmQE2AaQxyOr7WB0WJ4XQxJE6gDaA==" saltValue="3ozQjhSq0/+8v2ROLtb/e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119952293.01680203</v>
      </c>
      <c r="D9" s="8" t="s">
        <v>3</v>
      </c>
      <c r="E9" s="1"/>
    </row>
    <row r="10" spans="1:5" ht="15" customHeight="1" x14ac:dyDescent="0.25">
      <c r="A10" s="1"/>
      <c r="B10" s="26" t="s">
        <v>19</v>
      </c>
      <c r="C10" s="7">
        <f>SUM(C9:C9)*'Fane 15. Nøgletal'!C16</f>
        <v>9692145.2757576033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-804326.57497333456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128840111.71758629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3361202.6293582413</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driftsomk.'!E25</f>
        <v>2394135.5847189752</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134595449.93166351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5gDoZREXz7t9aNBp6Upx8PgCY8eel6L359WjBXrdoT2NsGbaei80EPwqhsDnkhuElYqMIxEIq6SHYd26CBN/w==" saltValue="ytlLr8jL6+AlTEmFLwRaa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5"/>
      <c r="C6" s="75"/>
      <c r="D6" s="75"/>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128840111.71758629</v>
      </c>
      <c r="D9" s="8" t="s">
        <v>3</v>
      </c>
      <c r="E9" s="1"/>
      <c r="F9" s="1"/>
    </row>
    <row r="10" spans="1:6" ht="15" customHeight="1" x14ac:dyDescent="0.25">
      <c r="A10" s="1"/>
      <c r="B10" s="26" t="s">
        <v>19</v>
      </c>
      <c r="C10" s="7">
        <f>SUM(C9:C9)*'Fane 15. Nøgletal'!C16</f>
        <v>10410281.026780972</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-851929.83898655628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138398462.90538073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3631979.8018103875</v>
      </c>
      <c r="D16" s="11" t="s">
        <v>3</v>
      </c>
      <c r="E16" s="1"/>
      <c r="F16" s="1"/>
    </row>
    <row r="17" spans="1:6" ht="15" customHeight="1" x14ac:dyDescent="0.25">
      <c r="A17" s="1"/>
      <c r="B17" s="33" t="s">
        <v>74</v>
      </c>
      <c r="C17" s="28"/>
      <c r="D17" s="19"/>
      <c r="E17" s="1"/>
      <c r="F17" s="1"/>
    </row>
    <row r="18" spans="1:6" ht="15" customHeight="1" x14ac:dyDescent="0.25">
      <c r="A18" s="1"/>
      <c r="B18" s="84" t="s">
        <v>74</v>
      </c>
      <c r="C18" s="10">
        <f>'Fane 12. Periodevise driftsomk.'!E31</f>
        <v>2587581.7399642682</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144618024.44715539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QCFPe+KOE1TcMRtLeJQMM5wDPObfoNJTKQN0S8HyCxRQXGGdJIRfE8XEP62Q5uHJz0pxyl5cav1o8vyr85MWA==" saltValue="wqV8WOBVJiiD4FJAnUrVe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103907703.86853863</v>
      </c>
      <c r="D9" s="8" t="s">
        <v>3</v>
      </c>
      <c r="E9" s="1"/>
    </row>
    <row r="10" spans="1:5" x14ac:dyDescent="0.25">
      <c r="A10" s="1"/>
      <c r="B10" s="90" t="s">
        <v>36</v>
      </c>
      <c r="C10" s="7">
        <v>348033.0564</v>
      </c>
      <c r="D10" s="8" t="s">
        <v>3</v>
      </c>
      <c r="E10" s="1"/>
    </row>
    <row r="11" spans="1:5" x14ac:dyDescent="0.25">
      <c r="A11" s="1"/>
      <c r="B11" s="90" t="s">
        <v>37</v>
      </c>
      <c r="C11" s="9">
        <v>2902851.0072000003</v>
      </c>
      <c r="D11" s="8" t="s">
        <v>3</v>
      </c>
      <c r="E11" s="1"/>
    </row>
    <row r="12" spans="1:5" x14ac:dyDescent="0.25">
      <c r="A12" s="1"/>
      <c r="B12" s="90" t="s">
        <v>26</v>
      </c>
      <c r="C12" s="9">
        <v>0</v>
      </c>
      <c r="D12" s="8" t="s">
        <v>3</v>
      </c>
      <c r="E12" s="1"/>
    </row>
    <row r="13" spans="1:5" x14ac:dyDescent="0.25">
      <c r="A13" s="1"/>
      <c r="B13" s="90" t="s">
        <v>25</v>
      </c>
      <c r="C13" s="9">
        <v>0</v>
      </c>
      <c r="D13" s="8" t="s">
        <v>3</v>
      </c>
      <c r="E13" s="1"/>
    </row>
    <row r="14" spans="1:5" x14ac:dyDescent="0.25">
      <c r="A14" s="1"/>
      <c r="B14" s="90" t="s">
        <v>105</v>
      </c>
      <c r="C14" s="9">
        <v>0</v>
      </c>
      <c r="D14" s="8" t="s">
        <v>3</v>
      </c>
      <c r="E14" s="1"/>
    </row>
    <row r="15" spans="1:5" x14ac:dyDescent="0.25">
      <c r="A15" s="1"/>
      <c r="B15" s="90" t="s">
        <v>106</v>
      </c>
      <c r="C15" s="9">
        <v>0</v>
      </c>
      <c r="D15" s="8" t="s">
        <v>3</v>
      </c>
      <c r="E15" s="1"/>
    </row>
    <row r="16" spans="1:5" x14ac:dyDescent="0.25">
      <c r="A16" s="1"/>
      <c r="B16" s="90" t="s">
        <v>19</v>
      </c>
      <c r="C16" s="41">
        <v>458626.89543033752</v>
      </c>
      <c r="D16" s="8" t="s">
        <v>3</v>
      </c>
      <c r="E16" s="1"/>
    </row>
    <row r="17" spans="1:5" x14ac:dyDescent="0.25">
      <c r="A17" s="1"/>
      <c r="B17" s="90" t="s">
        <v>10</v>
      </c>
      <c r="C17" s="41">
        <v>-2152344.2965513794</v>
      </c>
      <c r="D17" s="8" t="s">
        <v>3</v>
      </c>
      <c r="E17" s="1"/>
    </row>
    <row r="18" spans="1:5" x14ac:dyDescent="0.25">
      <c r="A18" s="1"/>
      <c r="B18" s="90" t="s">
        <v>23</v>
      </c>
      <c r="C18" s="41">
        <v>-674296.71949148446</v>
      </c>
      <c r="D18" s="8" t="s">
        <v>3</v>
      </c>
      <c r="E18" s="1"/>
    </row>
    <row r="19" spans="1:5" x14ac:dyDescent="0.25">
      <c r="A19" s="1"/>
      <c r="B19" s="90" t="s">
        <v>24</v>
      </c>
      <c r="C19" s="41">
        <v>-1233065.767147955</v>
      </c>
      <c r="D19" s="8" t="s">
        <v>3</v>
      </c>
      <c r="E19" s="47"/>
    </row>
    <row r="20" spans="1:5" x14ac:dyDescent="0.25">
      <c r="A20" s="1"/>
      <c r="B20" s="84" t="s">
        <v>21</v>
      </c>
      <c r="C20" s="10">
        <v>103557508.04437816</v>
      </c>
      <c r="D20" s="11" t="s">
        <v>3</v>
      </c>
      <c r="E20" s="1"/>
    </row>
    <row r="21" spans="1:5" x14ac:dyDescent="0.25">
      <c r="A21" s="1"/>
      <c r="B21" s="33" t="s">
        <v>12</v>
      </c>
      <c r="C21" s="28"/>
      <c r="D21" s="19"/>
      <c r="E21" s="1"/>
    </row>
    <row r="22" spans="1:5" x14ac:dyDescent="0.25">
      <c r="A22" s="1"/>
      <c r="B22" s="31" t="s">
        <v>12</v>
      </c>
      <c r="C22" s="10">
        <v>3486110.1638507205</v>
      </c>
      <c r="D22" s="11" t="s">
        <v>3</v>
      </c>
      <c r="E22" s="1"/>
    </row>
    <row r="23" spans="1:5" x14ac:dyDescent="0.25">
      <c r="A23" s="1"/>
      <c r="B23" s="33" t="s">
        <v>74</v>
      </c>
      <c r="C23" s="28"/>
      <c r="D23" s="19"/>
      <c r="E23" s="1"/>
    </row>
    <row r="24" spans="1:5" x14ac:dyDescent="0.25">
      <c r="A24" s="1"/>
      <c r="B24" s="84" t="s">
        <v>74</v>
      </c>
      <c r="C24" s="10">
        <v>1837239.7211828982</v>
      </c>
      <c r="D24" s="11" t="s">
        <v>3</v>
      </c>
      <c r="E24" s="1"/>
    </row>
    <row r="25" spans="1:5" x14ac:dyDescent="0.25">
      <c r="A25" s="1"/>
      <c r="B25" s="44" t="s">
        <v>73</v>
      </c>
      <c r="C25" s="42"/>
      <c r="D25" s="43"/>
      <c r="E25" s="1"/>
    </row>
    <row r="26" spans="1:5" x14ac:dyDescent="0.25">
      <c r="A26" s="1"/>
      <c r="B26" s="90" t="s">
        <v>158</v>
      </c>
      <c r="C26" s="70">
        <v>21363.549811200002</v>
      </c>
      <c r="D26" s="8" t="s">
        <v>3</v>
      </c>
      <c r="E26" s="1"/>
    </row>
    <row r="27" spans="1:5" x14ac:dyDescent="0.25">
      <c r="A27" s="1"/>
      <c r="B27" s="90" t="s">
        <v>70</v>
      </c>
      <c r="C27" s="70">
        <v>0</v>
      </c>
      <c r="D27" s="8" t="s">
        <v>3</v>
      </c>
      <c r="E27" s="1"/>
    </row>
    <row r="28" spans="1:5" x14ac:dyDescent="0.25">
      <c r="A28" s="1"/>
      <c r="B28" s="90" t="s">
        <v>161</v>
      </c>
      <c r="C28" s="70">
        <v>-854.54199244800009</v>
      </c>
      <c r="D28" s="8" t="s">
        <v>3</v>
      </c>
      <c r="E28" s="1"/>
    </row>
    <row r="29" spans="1:5" x14ac:dyDescent="0.25">
      <c r="A29" s="1"/>
      <c r="B29" s="90" t="s">
        <v>162</v>
      </c>
      <c r="C29" s="70">
        <v>0</v>
      </c>
      <c r="D29" s="8" t="s">
        <v>3</v>
      </c>
      <c r="E29" s="1"/>
    </row>
    <row r="30" spans="1:5" x14ac:dyDescent="0.25">
      <c r="A30" s="1"/>
      <c r="B30" s="71" t="s">
        <v>75</v>
      </c>
      <c r="C30" s="10">
        <v>20509.007818752001</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10203</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267</v>
      </c>
      <c r="C37" s="49">
        <v>108911569.93723053</v>
      </c>
      <c r="D37" s="30" t="s">
        <v>3</v>
      </c>
      <c r="E37" s="1"/>
    </row>
    <row r="38" spans="1:5" ht="30" customHeight="1" x14ac:dyDescent="0.25">
      <c r="A38" s="1"/>
      <c r="B38" s="115" t="s">
        <v>268</v>
      </c>
      <c r="C38" s="115"/>
      <c r="D38" s="115"/>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AyjJWAjyM1X7Fgt29smc3WKgCqbSaAfoy2Z+qSBUp0b+FmscbR4E6R3FATQQ+FR18cB1AuWe83ROWYOFvCWw==" saltValue="1fnkPVmLBAlulveVQs4fJ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55" zoomScaleNormal="100" zoomScalePageLayoutView="55"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6" t="s">
        <v>46</v>
      </c>
      <c r="C4" s="117"/>
      <c r="D4" s="117"/>
      <c r="E4" s="117"/>
      <c r="F4" s="117"/>
      <c r="G4" s="117"/>
      <c r="H4" s="118"/>
      <c r="I4" s="1"/>
    </row>
    <row r="5" spans="1:9" x14ac:dyDescent="0.25">
      <c r="A5" s="1"/>
      <c r="B5" s="119" t="s">
        <v>38</v>
      </c>
      <c r="C5" s="120"/>
      <c r="D5" s="120"/>
      <c r="E5" s="120"/>
      <c r="F5" s="121"/>
      <c r="G5" s="63">
        <v>34611859</v>
      </c>
      <c r="H5" s="14" t="s">
        <v>3</v>
      </c>
      <c r="I5" s="1"/>
    </row>
    <row r="6" spans="1:9" x14ac:dyDescent="0.25">
      <c r="A6" s="1"/>
      <c r="B6" s="128" t="s">
        <v>102</v>
      </c>
      <c r="C6" s="129"/>
      <c r="D6" s="129"/>
      <c r="E6" s="129"/>
      <c r="F6" s="130"/>
      <c r="G6" s="67">
        <v>2075963</v>
      </c>
      <c r="H6" s="14" t="s">
        <v>3</v>
      </c>
      <c r="I6" s="1"/>
    </row>
    <row r="7" spans="1:9" x14ac:dyDescent="0.25">
      <c r="A7" s="1"/>
      <c r="B7" s="119" t="s">
        <v>39</v>
      </c>
      <c r="C7" s="120"/>
      <c r="D7" s="120"/>
      <c r="E7" s="120"/>
      <c r="F7" s="121"/>
      <c r="G7" s="23">
        <f>SUM(G5:G6)*'Fane 15. Nøgletal'!C33</f>
        <v>733756.44000000006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34470969.354800008</v>
      </c>
      <c r="H11" s="14" t="s">
        <v>3</v>
      </c>
      <c r="I11" s="1"/>
    </row>
    <row r="12" spans="1:9" ht="15" customHeight="1" x14ac:dyDescent="0.25">
      <c r="A12" s="1"/>
      <c r="B12" s="119" t="s">
        <v>103</v>
      </c>
      <c r="C12" s="120"/>
      <c r="D12" s="120"/>
      <c r="E12" s="120"/>
      <c r="F12" s="121"/>
      <c r="G12" s="67">
        <v>0.35231399696320298</v>
      </c>
      <c r="H12" s="14" t="s">
        <v>3</v>
      </c>
      <c r="I12" s="1"/>
    </row>
    <row r="13" spans="1:9" x14ac:dyDescent="0.25">
      <c r="A13" s="1"/>
      <c r="B13" s="128" t="s">
        <v>100</v>
      </c>
      <c r="C13" s="129"/>
      <c r="D13" s="129"/>
      <c r="E13" s="129"/>
      <c r="F13" s="130"/>
      <c r="G13" s="67">
        <v>2000301.2150000001</v>
      </c>
      <c r="H13" s="14" t="s">
        <v>3</v>
      </c>
      <c r="I13" s="1"/>
    </row>
    <row r="14" spans="1:9" x14ac:dyDescent="0.25">
      <c r="A14" s="1"/>
      <c r="B14" s="125" t="s">
        <v>244</v>
      </c>
      <c r="C14" s="126"/>
      <c r="D14" s="126"/>
      <c r="E14" s="126"/>
      <c r="F14" s="127"/>
      <c r="G14" s="67">
        <v>0</v>
      </c>
      <c r="H14" s="14" t="s">
        <v>3</v>
      </c>
      <c r="I14" s="1"/>
    </row>
    <row r="15" spans="1:9" x14ac:dyDescent="0.25">
      <c r="A15" s="1"/>
      <c r="B15" s="119" t="s">
        <v>41</v>
      </c>
      <c r="C15" s="120"/>
      <c r="D15" s="120"/>
      <c r="E15" s="120"/>
      <c r="F15" s="121"/>
      <c r="G15" s="23">
        <f>SUM(G11:G14)*'Fane 15. Nøgletal'!C33</f>
        <v>729425.41844228015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34332021.313723482</v>
      </c>
      <c r="H19" s="14" t="s">
        <v>3</v>
      </c>
      <c r="I19" s="1"/>
    </row>
    <row r="20" spans="1:9" x14ac:dyDescent="0.25">
      <c r="A20" s="1"/>
      <c r="B20" s="125" t="s">
        <v>245</v>
      </c>
      <c r="C20" s="126"/>
      <c r="D20" s="126"/>
      <c r="E20" s="126"/>
      <c r="F20" s="127"/>
      <c r="G20" s="67">
        <v>0</v>
      </c>
      <c r="H20" s="14" t="s">
        <v>3</v>
      </c>
      <c r="I20" s="1"/>
    </row>
    <row r="21" spans="1:9" x14ac:dyDescent="0.25">
      <c r="A21" s="1"/>
      <c r="B21" s="119" t="s">
        <v>43</v>
      </c>
      <c r="C21" s="120"/>
      <c r="D21" s="120"/>
      <c r="E21" s="120"/>
      <c r="F21" s="121"/>
      <c r="G21" s="23">
        <f>SUM(G19:G20)*'Fane 15. Nøgletal'!C33</f>
        <v>686640.4262744697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34308194.890931755</v>
      </c>
      <c r="H25" s="14" t="s">
        <v>3</v>
      </c>
      <c r="I25" s="1"/>
    </row>
    <row r="26" spans="1:9" x14ac:dyDescent="0.25">
      <c r="A26" s="1"/>
      <c r="B26" s="125" t="s">
        <v>246</v>
      </c>
      <c r="C26" s="126"/>
      <c r="D26" s="126"/>
      <c r="E26" s="126"/>
      <c r="F26" s="127"/>
      <c r="G26" s="67">
        <v>0</v>
      </c>
      <c r="H26" s="14" t="s">
        <v>3</v>
      </c>
      <c r="I26" s="1"/>
    </row>
    <row r="27" spans="1:9" x14ac:dyDescent="0.25">
      <c r="A27" s="1"/>
      <c r="B27" s="119" t="s">
        <v>45</v>
      </c>
      <c r="C27" s="120"/>
      <c r="D27" s="120"/>
      <c r="E27" s="120"/>
      <c r="F27" s="121"/>
      <c r="G27" s="23">
        <f>(G25+G26)*'Fane 15. Nøgletal'!C33</f>
        <v>686163.8978186351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34284385.00367745</v>
      </c>
      <c r="H31" s="14" t="s">
        <v>3</v>
      </c>
      <c r="I31" s="1"/>
    </row>
    <row r="32" spans="1:9" x14ac:dyDescent="0.25">
      <c r="A32" s="1"/>
      <c r="B32" s="119" t="s">
        <v>243</v>
      </c>
      <c r="C32" s="120"/>
      <c r="D32" s="120"/>
      <c r="E32" s="120"/>
      <c r="F32" s="121"/>
      <c r="G32" s="63">
        <v>0</v>
      </c>
      <c r="H32" s="14" t="s">
        <v>3</v>
      </c>
      <c r="I32" s="1"/>
    </row>
    <row r="33" spans="1:9" x14ac:dyDescent="0.25">
      <c r="A33" s="1"/>
      <c r="B33" s="119" t="s">
        <v>54</v>
      </c>
      <c r="C33" s="120"/>
      <c r="D33" s="120"/>
      <c r="E33" s="120"/>
      <c r="F33" s="121"/>
      <c r="G33" s="23">
        <f>(G31+G32)*'Fane 15. Nøgletal'!C33</f>
        <v>685687.70007354906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33709573.004705802</v>
      </c>
      <c r="H37" s="14" t="s">
        <v>3</v>
      </c>
      <c r="I37" s="1"/>
    </row>
    <row r="38" spans="1:9" x14ac:dyDescent="0.25">
      <c r="A38" s="1"/>
      <c r="B38" s="119" t="s">
        <v>242</v>
      </c>
      <c r="C38" s="120"/>
      <c r="D38" s="120"/>
      <c r="E38" s="120"/>
      <c r="F38" s="121"/>
      <c r="G38" s="63">
        <v>213595.78458177004</v>
      </c>
      <c r="H38" s="14" t="s">
        <v>3</v>
      </c>
      <c r="I38" s="1"/>
    </row>
    <row r="39" spans="1:9" x14ac:dyDescent="0.25">
      <c r="A39" s="1"/>
      <c r="B39" s="119" t="s">
        <v>128</v>
      </c>
      <c r="C39" s="120"/>
      <c r="D39" s="120"/>
      <c r="E39" s="120"/>
      <c r="F39" s="121"/>
      <c r="G39" s="23">
        <f>(G37+G38)*'Fane 15. Nøgletal'!C33</f>
        <v>678463.3757857515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33354412.941366382</v>
      </c>
      <c r="H43" s="14" t="s">
        <v>3</v>
      </c>
      <c r="I43" s="1"/>
    </row>
    <row r="44" spans="1:9" x14ac:dyDescent="0.25">
      <c r="A44" s="1"/>
      <c r="B44" s="122" t="s">
        <v>157</v>
      </c>
      <c r="C44" s="123"/>
      <c r="D44" s="123"/>
      <c r="E44" s="123"/>
      <c r="F44" s="124"/>
      <c r="G44" s="45">
        <v>360423.03320784005</v>
      </c>
      <c r="H44" s="14" t="s">
        <v>3</v>
      </c>
      <c r="I44" s="1"/>
    </row>
    <row r="45" spans="1:9" x14ac:dyDescent="0.25">
      <c r="A45" s="1"/>
      <c r="B45" s="119" t="s">
        <v>129</v>
      </c>
      <c r="C45" s="120"/>
      <c r="D45" s="120"/>
      <c r="E45" s="120"/>
      <c r="F45" s="121"/>
      <c r="G45" s="23">
        <f>SUM(G43:G44)*'Fane 15. Nøgletal'!C33</f>
        <v>674296.71949148446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35710214.826893419</v>
      </c>
      <c r="H52" s="14" t="s">
        <v>3</v>
      </c>
      <c r="I52" s="1"/>
    </row>
    <row r="53" spans="1:9" x14ac:dyDescent="0.25">
      <c r="A53" s="1"/>
      <c r="B53" s="80" t="s">
        <v>194</v>
      </c>
      <c r="C53" s="81"/>
      <c r="D53" s="81"/>
      <c r="E53" s="81"/>
      <c r="F53" s="82"/>
      <c r="G53" s="23">
        <f>('Fane 2.1. Økonomisk ramme 2024'!C10+'Fane 2.1. Økonomisk ramme 2024'!C12+'Fane 2.1. Økonomisk ramme 2024'!C14)*(1+'Fane 15. Nøgletal'!C16)</f>
        <v>137345.06110528001</v>
      </c>
      <c r="H53" s="14" t="s">
        <v>3</v>
      </c>
      <c r="I53" s="1"/>
    </row>
    <row r="54" spans="1:9" x14ac:dyDescent="0.25">
      <c r="A54" s="1"/>
      <c r="B54" s="119" t="s">
        <v>210</v>
      </c>
      <c r="C54" s="120"/>
      <c r="D54" s="120"/>
      <c r="E54" s="120"/>
      <c r="F54" s="121"/>
      <c r="G54" s="23">
        <f>(G52)*'Fane 15. Nøgletal'!C33+(G53)*'Fane 15. Nøgletal'!C33</f>
        <v>716951.19775997405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80" t="s">
        <v>212</v>
      </c>
      <c r="C58" s="81"/>
      <c r="D58" s="81"/>
      <c r="E58" s="81"/>
      <c r="F58" s="82"/>
      <c r="G58" s="23">
        <f>(G52+G53-G54)*(1+'Fane 15. Nøgletal'!C16)</f>
        <v>37969161.872410014</v>
      </c>
      <c r="H58" s="14" t="s">
        <v>3</v>
      </c>
      <c r="I58" s="1"/>
    </row>
    <row r="59" spans="1:9" x14ac:dyDescent="0.25">
      <c r="A59" s="1"/>
      <c r="B59" s="80" t="s">
        <v>211</v>
      </c>
      <c r="C59" s="81"/>
      <c r="D59" s="81"/>
      <c r="E59" s="81"/>
      <c r="F59" s="82"/>
      <c r="G59" s="23">
        <f>(G58)*'Fane 15. Nøgletal'!C33</f>
        <v>759383.23744820035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80" t="s">
        <v>213</v>
      </c>
      <c r="C63" s="81"/>
      <c r="D63" s="81"/>
      <c r="E63" s="81"/>
      <c r="F63" s="82"/>
      <c r="G63" s="23">
        <f>(G58-G59)*(1+'Fane 15. Nøgletal'!C16)</f>
        <v>40216328.748666726</v>
      </c>
      <c r="H63" s="14" t="s">
        <v>3</v>
      </c>
      <c r="I63" s="1"/>
    </row>
    <row r="64" spans="1:9" x14ac:dyDescent="0.25">
      <c r="A64" s="1"/>
      <c r="B64" s="80" t="s">
        <v>214</v>
      </c>
      <c r="C64" s="81"/>
      <c r="D64" s="81"/>
      <c r="E64" s="81"/>
      <c r="F64" s="82"/>
      <c r="G64" s="23">
        <f>(G63)*'Fane 15. Nøgletal'!C33</f>
        <v>804326.57497333456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80" t="s">
        <v>213</v>
      </c>
      <c r="C68" s="81"/>
      <c r="D68" s="81"/>
      <c r="E68" s="81"/>
      <c r="F68" s="82"/>
      <c r="G68" s="23">
        <f>(G63-G64)*(1+'Fane 15. Nøgletal'!C16)</f>
        <v>42596491.949327812</v>
      </c>
      <c r="H68" s="14" t="s">
        <v>3</v>
      </c>
      <c r="I68" s="1"/>
    </row>
    <row r="69" spans="1:9" x14ac:dyDescent="0.25">
      <c r="A69" s="1"/>
      <c r="B69" s="80" t="s">
        <v>214</v>
      </c>
      <c r="C69" s="81"/>
      <c r="D69" s="81"/>
      <c r="E69" s="81"/>
      <c r="F69" s="82"/>
      <c r="G69" s="23">
        <f>(G68)*'Fane 15. Nøgletal'!C33</f>
        <v>851929.83898655628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zO4u5hF/TVDN2NaALuYS2ZEl1PCvMvnaGv8n5XpVD2gT6hJJbMxCj43ie8nyKZV6UNxMQynIlcohDZr5GXZBgw==" saltValue="ujMbx0hL5sHzd0KOpl5XGg=="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70" zoomScaleNormal="100" zoomScalePageLayoutView="7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6" t="s">
        <v>50</v>
      </c>
      <c r="C4" s="117"/>
      <c r="D4" s="117"/>
      <c r="E4" s="117"/>
      <c r="F4" s="117"/>
      <c r="G4" s="117"/>
      <c r="H4" s="118"/>
      <c r="I4" s="1"/>
    </row>
    <row r="5" spans="1:9" x14ac:dyDescent="0.25">
      <c r="A5" s="1"/>
      <c r="B5" s="119" t="s">
        <v>55</v>
      </c>
      <c r="C5" s="120"/>
      <c r="D5" s="120"/>
      <c r="E5" s="120"/>
      <c r="F5" s="121"/>
      <c r="G5" s="63">
        <v>85558740.467519253</v>
      </c>
      <c r="H5" s="14" t="s">
        <v>3</v>
      </c>
      <c r="I5" s="1"/>
    </row>
    <row r="6" spans="1:9" x14ac:dyDescent="0.25">
      <c r="A6" s="1"/>
      <c r="B6" s="119" t="s">
        <v>51</v>
      </c>
      <c r="C6" s="120"/>
      <c r="D6" s="120"/>
      <c r="E6" s="120"/>
      <c r="F6" s="121"/>
      <c r="G6" s="23">
        <f>G5*'Fane 15. Nøgletal'!C21</f>
        <v>778584.53825442528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86263808.658026963</v>
      </c>
      <c r="H10" s="14" t="s">
        <v>3</v>
      </c>
      <c r="I10" s="1"/>
    </row>
    <row r="11" spans="1:9" x14ac:dyDescent="0.25">
      <c r="A11" s="1"/>
      <c r="B11" s="119" t="s">
        <v>104</v>
      </c>
      <c r="C11" s="120"/>
      <c r="D11" s="120"/>
      <c r="E11" s="120"/>
      <c r="F11" s="121"/>
      <c r="G11" s="63">
        <v>-1358901.9859643888</v>
      </c>
      <c r="H11" s="14" t="s">
        <v>3</v>
      </c>
      <c r="I11" s="1"/>
    </row>
    <row r="12" spans="1:9" x14ac:dyDescent="0.25">
      <c r="A12" s="1"/>
      <c r="B12" s="125" t="s">
        <v>247</v>
      </c>
      <c r="C12" s="126"/>
      <c r="D12" s="126"/>
      <c r="E12" s="126"/>
      <c r="F12" s="127"/>
      <c r="G12" s="67">
        <v>0</v>
      </c>
      <c r="H12" s="14" t="s">
        <v>3</v>
      </c>
      <c r="I12" s="1"/>
    </row>
    <row r="13" spans="1:9" x14ac:dyDescent="0.25">
      <c r="A13" s="1"/>
      <c r="B13" s="119" t="s">
        <v>58</v>
      </c>
      <c r="C13" s="120"/>
      <c r="D13" s="120"/>
      <c r="E13" s="120"/>
      <c r="F13" s="121"/>
      <c r="G13" s="23">
        <f>SUM(G10:G12)*'Fane 15. Nøgletal'!C22</f>
        <v>1502816.8480955076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84861626.395886496</v>
      </c>
      <c r="H17" s="14" t="s">
        <v>3</v>
      </c>
      <c r="I17" s="1"/>
    </row>
    <row r="18" spans="1:9" x14ac:dyDescent="0.25">
      <c r="A18" s="1"/>
      <c r="B18" s="125" t="s">
        <v>248</v>
      </c>
      <c r="C18" s="126"/>
      <c r="D18" s="126"/>
      <c r="E18" s="126"/>
      <c r="F18" s="127"/>
      <c r="G18" s="63">
        <v>693015.22142491979</v>
      </c>
      <c r="H18" s="14" t="s">
        <v>3</v>
      </c>
      <c r="I18" s="1"/>
    </row>
    <row r="19" spans="1:9" x14ac:dyDescent="0.25">
      <c r="A19" s="1"/>
      <c r="B19" s="119" t="s">
        <v>61</v>
      </c>
      <c r="C19" s="120"/>
      <c r="D19" s="120"/>
      <c r="E19" s="120"/>
      <c r="F19" s="121"/>
      <c r="G19" s="23">
        <f>G17*'Fane 15. Nøgletal'!C22+G18*'Fane 15. Nøgletal'!C23</f>
        <v>1508080.0196335879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85702278.861152083</v>
      </c>
      <c r="H23" s="14" t="s">
        <v>3</v>
      </c>
      <c r="I23" s="1"/>
    </row>
    <row r="24" spans="1:9" x14ac:dyDescent="0.25">
      <c r="A24" s="1"/>
      <c r="B24" s="125" t="s">
        <v>249</v>
      </c>
      <c r="C24" s="126"/>
      <c r="D24" s="126"/>
      <c r="E24" s="126"/>
      <c r="F24" s="127"/>
      <c r="G24" s="63">
        <v>443687.14751938835</v>
      </c>
      <c r="H24" s="14" t="s">
        <v>3</v>
      </c>
      <c r="I24" s="1"/>
    </row>
    <row r="25" spans="1:9" x14ac:dyDescent="0.25">
      <c r="A25" s="1"/>
      <c r="B25" s="119" t="s">
        <v>64</v>
      </c>
      <c r="C25" s="120"/>
      <c r="D25" s="120"/>
      <c r="E25" s="120"/>
      <c r="F25" s="121"/>
      <c r="G25" s="23">
        <f>(G23+G24)*'Fane 15. Nøgletal'!C24</f>
        <v>2446545.4346462702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85348299.159333512</v>
      </c>
      <c r="H29" s="14" t="s">
        <v>3</v>
      </c>
      <c r="I29" s="1"/>
    </row>
    <row r="30" spans="1:9" x14ac:dyDescent="0.25">
      <c r="A30" s="1"/>
      <c r="B30" s="119" t="s">
        <v>250</v>
      </c>
      <c r="C30" s="120"/>
      <c r="D30" s="120"/>
      <c r="E30" s="120"/>
      <c r="F30" s="121"/>
      <c r="G30" s="63">
        <v>151314.59363076001</v>
      </c>
      <c r="H30" s="14" t="s">
        <v>3</v>
      </c>
      <c r="I30" s="1"/>
    </row>
    <row r="31" spans="1:9" x14ac:dyDescent="0.25">
      <c r="A31" s="1"/>
      <c r="B31" s="119" t="s">
        <v>67</v>
      </c>
      <c r="C31" s="120"/>
      <c r="D31" s="120"/>
      <c r="E31" s="120"/>
      <c r="F31" s="121"/>
      <c r="G31" s="23">
        <f>G29*'Fane 15. Nøgletal'!C24+G30*'Fane 15. Nøgletal'!C25</f>
        <v>2428052.8474499178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83345697.056502566</v>
      </c>
      <c r="H35" s="14" t="s">
        <v>3</v>
      </c>
      <c r="I35" s="1"/>
    </row>
    <row r="36" spans="1:9" x14ac:dyDescent="0.25">
      <c r="A36" s="1"/>
      <c r="B36" s="119" t="s">
        <v>251</v>
      </c>
      <c r="C36" s="120"/>
      <c r="D36" s="120"/>
      <c r="E36" s="120"/>
      <c r="F36" s="121"/>
      <c r="G36" s="63">
        <v>942994.08836289006</v>
      </c>
      <c r="H36" s="14" t="s">
        <v>3</v>
      </c>
      <c r="I36" s="1"/>
    </row>
    <row r="37" spans="1:9" x14ac:dyDescent="0.25">
      <c r="A37" s="1"/>
      <c r="B37" s="119" t="s">
        <v>131</v>
      </c>
      <c r="C37" s="120"/>
      <c r="D37" s="120"/>
      <c r="E37" s="120"/>
      <c r="F37" s="121"/>
      <c r="G37" s="23">
        <f>(G35+G36)*'Fane 15. Nøgletal'!C26</f>
        <v>1247472.6289440088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83315254.537023991</v>
      </c>
      <c r="H41" s="14" t="s">
        <v>3</v>
      </c>
      <c r="I41" s="1"/>
    </row>
    <row r="42" spans="1:9" x14ac:dyDescent="0.25">
      <c r="A42" s="1"/>
      <c r="B42" s="40" t="s">
        <v>156</v>
      </c>
      <c r="C42" s="81"/>
      <c r="D42" s="81"/>
      <c r="E42" s="81"/>
      <c r="F42" s="82"/>
      <c r="G42" s="23">
        <v>3006192.5030563204</v>
      </c>
      <c r="H42" s="14" t="s">
        <v>3</v>
      </c>
      <c r="I42" s="1"/>
    </row>
    <row r="43" spans="1:9" x14ac:dyDescent="0.25">
      <c r="A43" s="1"/>
      <c r="B43" s="119" t="s">
        <v>132</v>
      </c>
      <c r="C43" s="120"/>
      <c r="D43" s="120"/>
      <c r="E43" s="120"/>
      <c r="F43" s="121"/>
      <c r="G43" s="23">
        <f>(G41)*'Fane 15. Nøgletal'!C26+G42*'Fane 15. Nøgletal'!C27</f>
        <v>1233065.767147955</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91963522.479785278</v>
      </c>
      <c r="H53" s="14" t="s">
        <v>3</v>
      </c>
      <c r="I53" s="1"/>
    </row>
    <row r="54" spans="1:9" x14ac:dyDescent="0.25">
      <c r="A54" s="1"/>
      <c r="B54" s="80" t="s">
        <v>195</v>
      </c>
      <c r="C54" s="81"/>
      <c r="D54" s="81"/>
      <c r="E54" s="81"/>
      <c r="F54" s="82"/>
      <c r="G54" s="23">
        <f>('Fane 2.1. Økonomisk ramme 2024'!C11+'Fane 2.1. Økonomisk ramme 2024'!C13+'Fane 2.1. Økonomisk ramme 2024'!C15)*(1+'Fane 15. Nøgletal'!C16)</f>
        <v>341990.68567551998</v>
      </c>
      <c r="H54" s="14" t="s">
        <v>3</v>
      </c>
      <c r="I54" s="1"/>
    </row>
    <row r="55" spans="1:9" x14ac:dyDescent="0.25">
      <c r="A55" s="1"/>
      <c r="B55" s="119" t="s">
        <v>218</v>
      </c>
      <c r="C55" s="120"/>
      <c r="D55" s="120"/>
      <c r="E55" s="120"/>
      <c r="F55" s="121"/>
      <c r="G55" s="74">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99763798.629230022</v>
      </c>
      <c r="H59" s="14" t="s">
        <v>3</v>
      </c>
      <c r="I59" s="1"/>
    </row>
    <row r="60" spans="1:9" x14ac:dyDescent="0.25">
      <c r="A60" s="1"/>
      <c r="B60" s="119" t="s">
        <v>220</v>
      </c>
      <c r="C60" s="120"/>
      <c r="D60" s="120"/>
      <c r="E60" s="120"/>
      <c r="F60" s="121"/>
      <c r="G60" s="74">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107824713.55847181</v>
      </c>
      <c r="H64" s="14" t="s">
        <v>3</v>
      </c>
      <c r="I64" s="1"/>
    </row>
    <row r="65" spans="1:9" x14ac:dyDescent="0.25">
      <c r="A65" s="1"/>
      <c r="B65" s="119" t="s">
        <v>222</v>
      </c>
      <c r="C65" s="120"/>
      <c r="D65" s="120"/>
      <c r="E65" s="120"/>
      <c r="F65" s="121"/>
      <c r="G65" s="74">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116536950.41399634</v>
      </c>
      <c r="H69" s="14" t="s">
        <v>3</v>
      </c>
      <c r="I69" s="1"/>
    </row>
    <row r="70" spans="1:9" x14ac:dyDescent="0.25">
      <c r="A70" s="1"/>
      <c r="B70" s="119" t="s">
        <v>222</v>
      </c>
      <c r="C70" s="120"/>
      <c r="D70" s="120"/>
      <c r="E70" s="120"/>
      <c r="F70" s="121"/>
      <c r="G70" s="74">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z4BJMNM5SHC4e0DvjH27swg9vyaK9fkXNySFA5Gy8PUFsyiY5XdFLbNzosqsdYZ6S4UVTfsQClWrVEZySc/6qQ==" saltValue="bzjSncTO+J/mDd3D/XG94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70" zoomScaleNormal="100" zoomScalePageLayoutView="7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0</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KcAu4cFVW9Rs3why5KtwytUTGB+vdGwpUDKVZG7Z7M3opKRni81Ld0CyOS2ayrE5fePyEOMFP4HH89dVrv+1fA==" saltValue="1P6S4DeqRmQRObGZ8Zcah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Kristina Frisgaard</cp:lastModifiedBy>
  <cp:lastPrinted>2016-06-14T12:57:30Z</cp:lastPrinted>
  <dcterms:created xsi:type="dcterms:W3CDTF">2016-06-02T08:51:18Z</dcterms:created>
  <dcterms:modified xsi:type="dcterms:W3CDTF">2023-10-04T09:34:49Z</dcterms:modified>
</cp:coreProperties>
</file>