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Hillerød Spildevand AS (S039)\ØR2022\"/>
    </mc:Choice>
  </mc:AlternateContent>
  <bookViews>
    <workbookView xWindow="3105" yWindow="1005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Korrektion af ØR2020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16" i="40" l="1"/>
  <c r="E12" i="40"/>
  <c r="E26" i="32" l="1"/>
  <c r="E32" i="32" l="1"/>
  <c r="E34" i="32" s="1"/>
  <c r="C16" i="19"/>
  <c r="C26" i="15" l="1"/>
  <c r="C30" i="2"/>
  <c r="G20" i="11"/>
  <c r="F20" i="11"/>
  <c r="E20" i="11"/>
  <c r="E11" i="11"/>
  <c r="E12" i="11"/>
  <c r="E13" i="11"/>
  <c r="E14" i="11"/>
  <c r="E15" i="11"/>
  <c r="E16" i="11"/>
  <c r="E17" i="11"/>
  <c r="E18" i="11"/>
  <c r="E19" i="11"/>
  <c r="E28" i="20" l="1"/>
  <c r="E22" i="20"/>
  <c r="E16" i="20"/>
  <c r="E10" i="20"/>
  <c r="E10" i="11" l="1"/>
  <c r="G7" i="30" l="1"/>
  <c r="G11" i="30" s="1"/>
  <c r="E29" i="20" l="1"/>
  <c r="E30" i="20" s="1"/>
  <c r="E23" i="20"/>
  <c r="E24" i="20" s="1"/>
  <c r="E17" i="20"/>
  <c r="E18" i="20" s="1"/>
  <c r="E11" i="20"/>
  <c r="E12" i="20" s="1"/>
  <c r="E17" i="40" l="1"/>
  <c r="C32" i="2" s="1"/>
  <c r="C20" i="22" l="1"/>
  <c r="C20" i="15"/>
  <c r="C24" i="2"/>
  <c r="C20" i="23"/>
  <c r="E29" i="21" l="1"/>
  <c r="C29" i="21"/>
  <c r="E23" i="21"/>
  <c r="C23" i="21"/>
  <c r="E17" i="21"/>
  <c r="E18" i="21" s="1"/>
  <c r="C17" i="21"/>
  <c r="C18" i="21" s="1"/>
  <c r="E30" i="21" l="1"/>
  <c r="C30" i="21"/>
  <c r="E24" i="21"/>
  <c r="C24" i="21"/>
  <c r="C11" i="15"/>
  <c r="C10" i="15"/>
  <c r="E35" i="39"/>
  <c r="C35" i="39"/>
  <c r="C36" i="39" s="1"/>
  <c r="E27" i="39"/>
  <c r="C27" i="39"/>
  <c r="C28" i="39" s="1"/>
  <c r="E19" i="39"/>
  <c r="C19" i="39"/>
  <c r="E11" i="39"/>
  <c r="C11" i="39"/>
  <c r="C11" i="23" l="1"/>
  <c r="C10" i="23"/>
  <c r="C11" i="22"/>
  <c r="C10" i="22"/>
  <c r="E37" i="39"/>
  <c r="E36" i="39"/>
  <c r="E28" i="39"/>
  <c r="E29" i="39"/>
  <c r="E21" i="39"/>
  <c r="E20" i="39"/>
  <c r="C20" i="39"/>
  <c r="C21" i="39"/>
  <c r="E13" i="39"/>
  <c r="E12" i="39"/>
  <c r="C13" i="39"/>
  <c r="C12" i="39"/>
  <c r="C37" i="39"/>
  <c r="C38" i="39" s="1"/>
  <c r="C29" i="39"/>
  <c r="C30" i="39" s="1"/>
  <c r="E22" i="39" l="1"/>
  <c r="C23" i="15" s="1"/>
  <c r="E38" i="39"/>
  <c r="C23" i="23" s="1"/>
  <c r="E30" i="39"/>
  <c r="C23" i="22" s="1"/>
  <c r="C14" i="39"/>
  <c r="C26" i="2" s="1"/>
  <c r="E14" i="39"/>
  <c r="C27" i="2" s="1"/>
  <c r="C22" i="39"/>
  <c r="C22" i="15" s="1"/>
  <c r="C22" i="22"/>
  <c r="C22" i="23"/>
  <c r="C24" i="23" l="1"/>
  <c r="C24" i="22"/>
  <c r="C24" i="15"/>
  <c r="C28" i="2"/>
  <c r="G6" i="36" l="1"/>
  <c r="G10" i="36" l="1"/>
  <c r="G13" i="36" l="1"/>
  <c r="G17" i="36" l="1"/>
  <c r="G19" i="36" s="1"/>
  <c r="G15" i="30"/>
  <c r="G19" i="30" s="1"/>
  <c r="G23" i="36" l="1"/>
  <c r="G25" i="36" s="1"/>
  <c r="G21" i="30"/>
  <c r="G29" i="36" l="1"/>
  <c r="G25" i="30"/>
  <c r="G31" i="36" l="1"/>
  <c r="C10" i="37"/>
  <c r="C13" i="37" s="1"/>
  <c r="C14" i="37" s="1"/>
  <c r="G35" i="36" l="1"/>
  <c r="E19" i="27"/>
  <c r="C10" i="2"/>
  <c r="E11" i="21"/>
  <c r="E12" i="21" s="1"/>
  <c r="C11" i="21"/>
  <c r="C12" i="21" s="1"/>
  <c r="E11" i="29"/>
  <c r="E12" i="29" s="1"/>
  <c r="C11" i="29"/>
  <c r="C12" i="29" s="1"/>
  <c r="C17" i="19"/>
  <c r="C18" i="23" l="1"/>
  <c r="C18" i="22"/>
  <c r="C18" i="15"/>
  <c r="C15" i="2"/>
  <c r="C14" i="2"/>
  <c r="C22" i="2"/>
  <c r="C12" i="2"/>
  <c r="G38" i="30" s="1"/>
  <c r="G44" i="30" s="1"/>
  <c r="C13" i="2"/>
  <c r="G27" i="30" l="1"/>
  <c r="G31" i="30" l="1"/>
  <c r="E10" i="37"/>
  <c r="E13" i="37" s="1"/>
  <c r="E14" i="37" s="1"/>
  <c r="C11" i="2" l="1"/>
  <c r="G36" i="36" s="1"/>
  <c r="G33" i="30"/>
  <c r="E18" i="27" s="1"/>
  <c r="G42" i="36" l="1"/>
  <c r="G37" i="36"/>
  <c r="G41" i="36" s="1"/>
  <c r="G37" i="30"/>
  <c r="E20" i="27"/>
  <c r="E33" i="27" s="1"/>
  <c r="C9" i="2" l="1"/>
  <c r="C16" i="2" s="1"/>
  <c r="G39" i="30"/>
  <c r="G43" i="30" s="1"/>
  <c r="G46" i="30" s="1"/>
  <c r="G52" i="30" s="1"/>
  <c r="G44" i="36"/>
  <c r="G53" i="36" s="1"/>
  <c r="C19" i="2"/>
  <c r="G55" i="36" l="1"/>
  <c r="C15" i="15"/>
  <c r="G59" i="36" l="1"/>
  <c r="G61" i="36" s="1"/>
  <c r="C15" i="23" s="1"/>
  <c r="C15" i="22"/>
  <c r="C17" i="2"/>
  <c r="C18" i="2" l="1"/>
  <c r="C20" i="2" s="1"/>
  <c r="C35" i="2" l="1"/>
  <c r="C9" i="15"/>
  <c r="C14" i="15" l="1"/>
  <c r="C12" i="15"/>
  <c r="C13" i="15" s="1"/>
  <c r="C16" i="15" l="1"/>
  <c r="C29" i="15" s="1"/>
  <c r="C9" i="22" l="1"/>
  <c r="G54" i="30"/>
  <c r="C12" i="22" l="1"/>
  <c r="C13" i="22" s="1"/>
  <c r="C14" i="22"/>
  <c r="G58" i="30"/>
  <c r="G60" i="30" s="1"/>
  <c r="C14" i="23" s="1"/>
  <c r="C16" i="22" l="1"/>
  <c r="C9" i="23" l="1"/>
  <c r="C12" i="23" s="1"/>
  <c r="C27" i="22"/>
  <c r="C13" i="23" l="1"/>
  <c r="C16" i="23" s="1"/>
  <c r="C27" i="23" s="1"/>
</calcChain>
</file>

<file path=xl/sharedStrings.xml><?xml version="1.0" encoding="utf-8"?>
<sst xmlns="http://schemas.openxmlformats.org/spreadsheetml/2006/main" count="741" uniqueCount="298">
  <si>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</si>
  <si>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</si>
  <si>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</si>
  <si>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</si>
  <si>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</si>
  <si>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</si>
  <si>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</si>
  <si>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</si>
  <si>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</si>
  <si>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</si>
  <si>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</si>
  <si>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</si>
  <si>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</si>
  <si>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</si>
  <si>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</si>
  <si>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</si>
  <si>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</si>
  <si>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</si>
  <si>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</si>
  <si>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</si>
  <si>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</si>
  <si>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</si>
  <si>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</si>
  <si>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</si>
  <si>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</si>
  <si>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</si>
  <si>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</si>
  <si>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</si>
  <si>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</si>
  <si>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</si>
  <si>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</si>
  <si>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</si>
  <si>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</si>
  <si>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</si>
  <si>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</si>
  <si>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</si>
  <si>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</si>
  <si>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</si>
  <si>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</si>
  <si>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</si>
  <si>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</si>
  <si>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Fane 13</t>
  </si>
  <si>
    <t>Fane 14</t>
  </si>
  <si>
    <t>Nye tillæg - Drift</t>
  </si>
  <si>
    <t>Nye tillæg - Anlæg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</si>
  <si>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</si>
  <si>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</si>
  <si>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</si>
  <si>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</si>
  <si>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</si>
  <si>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</si>
  <si>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</si>
  <si>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</si>
  <si>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</si>
  <si>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</si>
  <si>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</si>
  <si>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</si>
  <si>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</si>
  <si>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</si>
  <si>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</si>
  <si>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</si>
  <si>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</si>
  <si>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</si>
  <si>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</si>
  <si>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</si>
  <si>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</si>
  <si>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</si>
  <si>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</si>
  <si>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</si>
  <si>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</si>
  <si>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</si>
  <si>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</si>
  <si>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</si>
  <si>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</si>
  <si>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</si>
  <si>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</si>
  <si>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</si>
  <si>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</si>
  <si>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</si>
  <si>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</si>
  <si>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</si>
  <si>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</si>
  <si>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</si>
  <si>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</si>
  <si>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</si>
  <si>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anlægsomkostninger i de vejledende økonomiske rammer for 2023</t>
  </si>
  <si>
    <t>Individuelt effektiviseringskrav til de økonomiske rammer for 2018-2019</t>
  </si>
  <si>
    <t>Individuelt effektiviseringskrav til de økonomiske rammer for 2020-2021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</si>
  <si>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</si>
  <si>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</si>
  <si>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</si>
  <si>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</si>
  <si>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</si>
  <si>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</si>
  <si>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</si>
  <si>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</si>
  <si>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</si>
  <si>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</si>
  <si>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</si>
  <si>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</si>
  <si>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</si>
  <si>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</si>
  <si>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</si>
  <si>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</si>
  <si>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</si>
  <si>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</si>
  <si>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</si>
  <si>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</si>
  <si>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</si>
  <si>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</si>
  <si>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</si>
  <si>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</si>
  <si>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</si>
  <si>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</si>
  <si>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</si>
  <si>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Tillæg til tilbagebetaling af vejbidrag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</si>
  <si>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</si>
  <si>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</si>
  <si>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</si>
  <si>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</si>
  <si>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</si>
  <si>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</si>
  <si>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</si>
  <si>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</si>
  <si>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</si>
  <si>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</si>
  <si>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</si>
  <si>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</si>
  <si>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</si>
  <si>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</si>
  <si>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</si>
  <si>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</si>
  <si>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</si>
  <si>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</si>
  <si>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</si>
  <si>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</si>
  <si>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</si>
  <si>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</si>
  <si>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</si>
  <si>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Generelt effektiviseringskrav til brug for anlægsomkostninger i ØR2017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</si>
  <si>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</si>
  <si>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</si>
  <si>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</si>
  <si>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</si>
  <si>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</si>
  <si>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</si>
  <si>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</si>
  <si>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</si>
  <si>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</si>
  <si>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</si>
  <si>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</si>
  <si>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</si>
  <si>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</si>
  <si>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Økonomisk ramme for 2024</t>
  </si>
  <si>
    <t>Tillæg til den økonomiske ramme for 2024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</si>
  <si>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</si>
  <si>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</si>
  <si>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</si>
  <si>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</si>
  <si>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</si>
  <si>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Vejledende økonomisk ramme for 2024</t>
  </si>
  <si>
    <t>Tilknyttet virksomhed</t>
  </si>
  <si>
    <t>Prisudvikling til brug for nye omkostninger i ØR2021</t>
  </si>
  <si>
    <t>Nye tillæg i alt i 2020-prisniveau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</si>
  <si>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</si>
  <si>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</si>
  <si>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</si>
  <si>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</si>
  <si>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</si>
  <si>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</si>
  <si>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</si>
  <si>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</si>
  <si>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</si>
  <si>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</si>
  <si>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</si>
  <si>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</si>
  <si>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</si>
  <si>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</si>
  <si>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</si>
  <si>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</si>
  <si>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</si>
  <si>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</si>
  <si>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</si>
  <si>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</si>
  <si>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</si>
  <si>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</si>
  <si>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Til indregning i de økonomiske rammer for 2022-2023</t>
  </si>
  <si>
    <t>Kontrol med overholdelse af økonomiske rammer</t>
  </si>
  <si>
    <t>Kontrol med de økonomiske rammer til indregning</t>
  </si>
  <si>
    <t>Fane 14: Nøgletal</t>
  </si>
  <si>
    <t>Generelt effektiviseringskrav til brug for anlægsomkostninger i ØR2018</t>
  </si>
  <si>
    <t>Generelt effektiviseringskrav til brug for anlægsomkostninger i ØR2019</t>
  </si>
  <si>
    <t>Generelt effektiviseringskrav til brug for anlægsomkostninger i ØR2021</t>
  </si>
  <si>
    <t>Generelt effektiviseringskrav til brug for anlægsomkostninger i ØR2022</t>
  </si>
  <si>
    <t>Fane 2.1: Samlet økonomisk ramme for 2022</t>
  </si>
  <si>
    <t>Korrektion af den økonomiske ramme for 2020</t>
  </si>
  <si>
    <t>Fane 2.2: Samlet økonomisk ramme for 2023</t>
  </si>
  <si>
    <t>Fane 2.3: Samlet økonomisk ramme for 2024</t>
  </si>
  <si>
    <t>Fane 2.4: Samlet økonomisk ramme for 2025</t>
  </si>
  <si>
    <t>Videreførte omkostninger fra den økonomiske ramme for 2024</t>
  </si>
  <si>
    <t>Økonomisk ramme for 2025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</si>
  <si>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</si>
  <si>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</si>
  <si>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</si>
  <si>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</si>
  <si>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 i de vejledende økonomiske rammer for 2025</t>
  </si>
  <si>
    <t>Individuelt effektiviseringskrav til de økonomiske rammer for 2022-2023</t>
  </si>
  <si>
    <t>Beregningen af jeres individuelle effektiviseringskrav fremgår af metodepapir samt bilag til benchmarkingmodellen 2022</t>
  </si>
  <si>
    <t>Faktiske ikke-påvirkelige omkostninger i 2020</t>
  </si>
  <si>
    <t>Ikke-påvirkelige omkostninger i 2020-prisniveau</t>
  </si>
  <si>
    <t>Ikke-påvirkelige omkostninger i 2022-prisniveau</t>
  </si>
  <si>
    <t>Tillæg til den økonomiske ramme for 2025</t>
  </si>
  <si>
    <t>Fane 7: Kontrol med overholdelse af den økonomiske ramme for 2020</t>
  </si>
  <si>
    <t>Kontrol med overholdelse af den økonomiske ramme for 2020</t>
  </si>
  <si>
    <t>Indtægtsramme i den økonomiske ramme for 2020</t>
  </si>
  <si>
    <t>Faktiske indtægter i 2020</t>
  </si>
  <si>
    <t>Fane 8: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</si>
  <si>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</si>
  <si>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</si>
  <si>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</si>
  <si>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</si>
  <si>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</si>
  <si>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</si>
  <si>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</si>
  <si>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</si>
  <si>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</si>
  <si>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</si>
  <si>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</si>
  <si>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</si>
  <si>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</si>
  <si>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</si>
  <si>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</si>
  <si>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Generelt effektiviseringskrav til driftsomkostninger i de økonomiske rammer for 2022</t>
  </si>
  <si>
    <t>Generelt effektiviseringskrav til driftsomkostninger i de økonomiske rammer for 2023</t>
  </si>
  <si>
    <t>Generelt effektiviseringskrav til driftsomkostningerne i ØR22</t>
  </si>
  <si>
    <t>Generelt effektiviseringskrav til driftsomkostningerne i ØR23</t>
  </si>
  <si>
    <t>Nye driftsomkostninger til de økonomiske rammer for 2022</t>
  </si>
  <si>
    <t>- Heraf nye driftsomkostninger til de økonomiske rammer for 2022</t>
  </si>
  <si>
    <t>Generelt effektiviseringskrav til anlægsomkostninger i de økonomiske rammer for 2022</t>
  </si>
  <si>
    <t>Generelt effektiviseringskrav til anlægsomkostningerne i ØR22</t>
  </si>
  <si>
    <t>Nye anlægsomkostninger til de økonomiske rammer for 2022</t>
  </si>
  <si>
    <t>Generelt effektiviseringskrav til anlægsomkostningerne i ØR23</t>
  </si>
  <si>
    <t>- Heraf nye anlægsomkostninger til de økonomiske rammer for 2022</t>
  </si>
  <si>
    <t>Individuelt effektiviseringskrav til de økonomiske rammer for 2017</t>
  </si>
  <si>
    <t>Faktiske omkostninger i 2020</t>
  </si>
  <si>
    <t>Samlet økonomisk ramme for 2022</t>
  </si>
  <si>
    <t>Samlet økonomisk ramme for 2023</t>
  </si>
  <si>
    <t>Vejledende økonomisk ramme for 2025</t>
  </si>
  <si>
    <t>Omkostninger i ØR2021</t>
  </si>
  <si>
    <t>Kontrol af den økonomiske ramme for 2020</t>
  </si>
  <si>
    <t>Fane 3: Videreførte omkostninger fra den økonomiske ramme for 2021</t>
  </si>
  <si>
    <t>Økonomisk ramme for 2021</t>
  </si>
  <si>
    <t xml:space="preserve">Note: Denne opgørelse er taget fra jeres statusmeddelelse for den økonomiske ramme for 2021. I kan derfor ikke komme med høringssvar til denne opgørelse. </t>
  </si>
  <si>
    <t>Prisudvikling til brug for ØR2022-2023</t>
  </si>
  <si>
    <t>Prisudvikling til brug for nye omkostninger i ØR2020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</si>
  <si>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</si>
  <si>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</si>
  <si>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</si>
  <si>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 xml:space="preserve">Indtægter fra tilbagebetalt skat eller sambeskatningsbidrag som følge af skattesagen </t>
  </si>
  <si>
    <t xml:space="preserve">Nedsættelse af økonomisk ramme som følge af skattesagen </t>
  </si>
  <si>
    <t>Videreførte omkostninger fra den økonomiske ramme for 2021</t>
  </si>
  <si>
    <t>Ø 200 mm &lt; Ledningsnet ≤ Ø 500 mm</t>
  </si>
  <si>
    <t>75</t>
  </si>
  <si>
    <t>Ø 500 mm &lt; Ledningsnet ≤ Ø 800 mm</t>
  </si>
  <si>
    <t>Ø 800 mm &lt; Ledningsnet ≤ Ø 1000 mm</t>
  </si>
  <si>
    <t>Brønde</t>
  </si>
  <si>
    <t>Kælder</t>
  </si>
  <si>
    <t>Pumpeinstallation Miljøklasse A (300-600 l/s) - Mek/EL</t>
  </si>
  <si>
    <t>20</t>
  </si>
  <si>
    <t>Pumpeinstallation Miljøklasse A (300-600 l/s) - SRO</t>
  </si>
  <si>
    <t>10</t>
  </si>
  <si>
    <t>Ingen tilknyttet virksomhed</t>
  </si>
  <si>
    <t>Spildevandsafgift</t>
  </si>
  <si>
    <t>Afgift til Forsyningssekretariatet</t>
  </si>
  <si>
    <t>Køb af produkter og ydelser fra andre vandselskaber reguleret af vandsektorloven</t>
  </si>
  <si>
    <t>Ejendomsskat</t>
  </si>
  <si>
    <t>Erstatninger</t>
  </si>
  <si>
    <t>Ingen bortfald eller nedsættelse</t>
  </si>
  <si>
    <t>Tidligere opgjorte over/underdækninger</t>
  </si>
  <si>
    <t>Over/underdækning i 2017</t>
  </si>
  <si>
    <t>Over/underdækning i 2018</t>
  </si>
  <si>
    <t>Korrigeret over/underdækning i 2018</t>
  </si>
  <si>
    <t>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</si>
  <si>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</si>
  <si>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</si>
  <si>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</si>
  <si>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</si>
  <si>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</si>
  <si>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Resultat af kontrol med overholdelse af den økonomiske ramme for 2020</t>
  </si>
  <si>
    <t>Oversigt over den økonomiske ramme for 2021</t>
  </si>
  <si>
    <t>Flytning af ledninger</t>
  </si>
  <si>
    <t>Byggemodning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</si>
  <si>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</si>
  <si>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Yderligere opkrævningsret for de økonomiske rammer 2017 og/eller 2018</t>
  </si>
  <si>
    <t>Ingen engangstillæg</t>
  </si>
  <si>
    <t>Biogasafgift</t>
  </si>
  <si>
    <t>Til økonomiske rammer for 2022 og 2023</t>
  </si>
  <si>
    <t>Kontrol med overholdelse af den økonomiske ramme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</si>
</sst>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2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8" fillId="8" borderId="3" xfId="0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3" fontId="8" fillId="4" borderId="2" xfId="0" applyNumberFormat="1" applyFont="1" applyFill="1" applyBorder="1" applyAlignment="1" applyProtection="1">
      <alignment horizontal="right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1" fontId="8" fillId="8" borderId="1" xfId="1" applyNumberFormat="1" applyFont="1" applyFill="1" applyBorder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F2DCDB"/>
      <color rgb="FF212121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1" t="s">
        <v>4</v>
      </c>
      <c r="E6" s="81"/>
      <c r="F6" s="81"/>
      <c r="G6" s="81"/>
      <c r="H6" s="3"/>
      <c r="I6" s="1"/>
    </row>
    <row r="7" spans="1:9" ht="15" customHeight="1" x14ac:dyDescent="0.25">
      <c r="A7" s="1"/>
      <c r="B7" s="1"/>
      <c r="C7" s="3"/>
      <c r="D7" s="81"/>
      <c r="E7" s="81"/>
      <c r="F7" s="81"/>
      <c r="G7" s="81"/>
      <c r="H7" s="3"/>
      <c r="I7" s="1"/>
    </row>
    <row r="8" spans="1:9" ht="15.75" x14ac:dyDescent="0.25">
      <c r="A8" s="1"/>
      <c r="B8" s="1"/>
      <c r="C8" s="4"/>
      <c r="D8" s="86" t="s">
        <v>296</v>
      </c>
      <c r="E8" s="86"/>
      <c r="F8" s="86"/>
      <c r="G8" s="8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5" t="s">
        <v>5</v>
      </c>
      <c r="E11" s="85"/>
      <c r="F11" s="85"/>
      <c r="G11" s="8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8" t="s">
        <v>245</v>
      </c>
      <c r="E13" s="79"/>
      <c r="F13" s="79"/>
      <c r="G13" s="80"/>
      <c r="H13" s="1"/>
      <c r="I13" s="1"/>
    </row>
    <row r="14" spans="1:9" x14ac:dyDescent="0.25">
      <c r="A14" s="1"/>
      <c r="B14" s="1"/>
      <c r="C14" s="6" t="s">
        <v>17</v>
      </c>
      <c r="D14" s="78" t="s">
        <v>246</v>
      </c>
      <c r="E14" s="79"/>
      <c r="F14" s="79"/>
      <c r="G14" s="80"/>
      <c r="H14" s="1"/>
      <c r="I14" s="1"/>
    </row>
    <row r="15" spans="1:9" x14ac:dyDescent="0.25">
      <c r="A15" s="1"/>
      <c r="B15" s="1"/>
      <c r="C15" s="6" t="s">
        <v>37</v>
      </c>
      <c r="D15" s="78" t="s">
        <v>160</v>
      </c>
      <c r="E15" s="79"/>
      <c r="F15" s="79"/>
      <c r="G15" s="80"/>
      <c r="H15" s="1"/>
      <c r="I15" s="1"/>
    </row>
    <row r="16" spans="1:9" x14ac:dyDescent="0.25">
      <c r="A16" s="1"/>
      <c r="B16" s="1"/>
      <c r="C16" s="6" t="s">
        <v>38</v>
      </c>
      <c r="D16" s="78" t="s">
        <v>247</v>
      </c>
      <c r="E16" s="79"/>
      <c r="F16" s="79"/>
      <c r="G16" s="80"/>
      <c r="H16" s="1"/>
      <c r="I16" s="1"/>
    </row>
    <row r="17" spans="1:9" x14ac:dyDescent="0.25">
      <c r="A17" s="1"/>
      <c r="B17" s="1"/>
      <c r="C17" s="6" t="s">
        <v>144</v>
      </c>
      <c r="D17" s="78" t="s">
        <v>248</v>
      </c>
      <c r="E17" s="79"/>
      <c r="F17" s="79"/>
      <c r="G17" s="80"/>
      <c r="H17" s="1"/>
      <c r="I17" s="1"/>
    </row>
    <row r="18" spans="1:9" x14ac:dyDescent="0.25">
      <c r="A18" s="1"/>
      <c r="B18" s="1"/>
      <c r="C18" s="6" t="s">
        <v>124</v>
      </c>
      <c r="D18" s="75" t="s">
        <v>110</v>
      </c>
      <c r="E18" s="76"/>
      <c r="F18" s="76"/>
      <c r="G18" s="77"/>
      <c r="H18" s="1"/>
      <c r="I18" s="1"/>
    </row>
    <row r="19" spans="1:9" x14ac:dyDescent="0.25">
      <c r="A19" s="1"/>
      <c r="B19" s="1"/>
      <c r="C19" s="6" t="s">
        <v>125</v>
      </c>
      <c r="D19" s="75" t="s">
        <v>111</v>
      </c>
      <c r="E19" s="76"/>
      <c r="F19" s="76"/>
      <c r="G19" s="77"/>
      <c r="H19" s="1"/>
      <c r="I19" s="1"/>
    </row>
    <row r="20" spans="1:9" x14ac:dyDescent="0.25">
      <c r="A20" s="1"/>
      <c r="B20" s="1"/>
      <c r="C20" s="6" t="s">
        <v>7</v>
      </c>
      <c r="D20" s="75" t="s">
        <v>10</v>
      </c>
      <c r="E20" s="76"/>
      <c r="F20" s="76"/>
      <c r="G20" s="77"/>
      <c r="H20" s="1"/>
      <c r="I20" s="1"/>
    </row>
    <row r="21" spans="1:9" x14ac:dyDescent="0.25">
      <c r="A21" s="1"/>
      <c r="B21" s="1"/>
      <c r="C21" s="6" t="s">
        <v>126</v>
      </c>
      <c r="D21" s="82" t="s">
        <v>13</v>
      </c>
      <c r="E21" s="83"/>
      <c r="F21" s="83"/>
      <c r="G21" s="84"/>
      <c r="H21" s="1"/>
      <c r="I21" s="1"/>
    </row>
    <row r="22" spans="1:9" x14ac:dyDescent="0.25">
      <c r="A22" s="1"/>
      <c r="B22" s="1"/>
      <c r="C22" s="6" t="s">
        <v>91</v>
      </c>
      <c r="D22" s="69" t="s">
        <v>249</v>
      </c>
      <c r="E22" s="70"/>
      <c r="F22" s="70"/>
      <c r="G22" s="71"/>
      <c r="H22" s="1"/>
      <c r="I22" s="1"/>
    </row>
    <row r="23" spans="1:9" x14ac:dyDescent="0.25">
      <c r="A23" s="1"/>
      <c r="B23" s="1"/>
      <c r="C23" s="6" t="s">
        <v>8</v>
      </c>
      <c r="D23" s="69" t="s">
        <v>195</v>
      </c>
      <c r="E23" s="70"/>
      <c r="F23" s="70"/>
      <c r="G23" s="71"/>
      <c r="H23" s="1"/>
      <c r="I23" s="1"/>
    </row>
    <row r="24" spans="1:9" x14ac:dyDescent="0.25">
      <c r="A24" s="1"/>
      <c r="B24" s="1"/>
      <c r="C24" s="6" t="s">
        <v>9</v>
      </c>
      <c r="D24" s="69" t="s">
        <v>39</v>
      </c>
      <c r="E24" s="70"/>
      <c r="F24" s="70"/>
      <c r="G24" s="71"/>
      <c r="H24" s="1"/>
      <c r="I24" s="1"/>
    </row>
    <row r="25" spans="1:9" x14ac:dyDescent="0.25">
      <c r="A25" s="1"/>
      <c r="B25" s="1"/>
      <c r="C25" s="6" t="s">
        <v>127</v>
      </c>
      <c r="D25" s="69" t="s">
        <v>92</v>
      </c>
      <c r="E25" s="70"/>
      <c r="F25" s="70"/>
      <c r="G25" s="71"/>
      <c r="H25" s="1"/>
      <c r="I25" s="1"/>
    </row>
    <row r="26" spans="1:9" x14ac:dyDescent="0.25">
      <c r="A26" s="1"/>
      <c r="B26" s="1"/>
      <c r="C26" s="6" t="s">
        <v>128</v>
      </c>
      <c r="D26" s="69" t="s">
        <v>93</v>
      </c>
      <c r="E26" s="70"/>
      <c r="F26" s="70"/>
      <c r="G26" s="71"/>
      <c r="H26" s="1"/>
      <c r="I26" s="1"/>
    </row>
    <row r="27" spans="1:9" x14ac:dyDescent="0.25">
      <c r="A27" s="1"/>
      <c r="B27" s="1"/>
      <c r="C27" s="6" t="s">
        <v>129</v>
      </c>
      <c r="D27" s="69" t="s">
        <v>94</v>
      </c>
      <c r="E27" s="70"/>
      <c r="F27" s="70"/>
      <c r="G27" s="71"/>
      <c r="H27" s="1"/>
      <c r="I27" s="1"/>
    </row>
    <row r="28" spans="1:9" x14ac:dyDescent="0.25">
      <c r="A28" s="1"/>
      <c r="B28" s="1"/>
      <c r="C28" s="6" t="s">
        <v>16</v>
      </c>
      <c r="D28" s="69" t="s">
        <v>161</v>
      </c>
      <c r="E28" s="70"/>
      <c r="F28" s="70"/>
      <c r="G28" s="71"/>
      <c r="H28" s="1"/>
      <c r="I28" s="1"/>
    </row>
    <row r="29" spans="1:9" x14ac:dyDescent="0.25">
      <c r="A29" s="1"/>
      <c r="B29" s="1"/>
      <c r="C29" s="6" t="s">
        <v>41</v>
      </c>
      <c r="D29" s="69" t="s">
        <v>40</v>
      </c>
      <c r="E29" s="70"/>
      <c r="F29" s="70"/>
      <c r="G29" s="71"/>
      <c r="H29" s="1"/>
      <c r="I29" s="1"/>
    </row>
    <row r="30" spans="1:9" x14ac:dyDescent="0.25">
      <c r="A30" s="1"/>
      <c r="B30" s="1"/>
      <c r="C30" s="6" t="s">
        <v>42</v>
      </c>
      <c r="D30" s="72" t="s">
        <v>123</v>
      </c>
      <c r="E30" s="73"/>
      <c r="F30" s="73"/>
      <c r="G30" s="74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eCE1IurcB3706rqdRf18WrZiYLh8pEOz7UjyCXkhhXE4Hd2JBHWE7qhQhNuQXIgDk/K84HcOxmJ2YTEBzKci0Q==" saltValue="hIXiVRTm5QziLrYVzVlo6A==" spinCount="100000" sheet="1" objects="1" scenarios="1"/>
  <mergeCells count="21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</mergeCells>
  <hyperlinks>
    <hyperlink ref="D14:G14" location="'Fane 2.2. Økonomisk ramme 2023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1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20'!A1" display="Korrektion af den økonomiske ramme for 2020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3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7" t="s">
        <v>132</v>
      </c>
      <c r="C3" s="87"/>
      <c r="D3" s="87"/>
      <c r="E3" s="1"/>
      <c r="F3" s="1"/>
    </row>
    <row r="4" spans="1:6" ht="15" customHeight="1" x14ac:dyDescent="0.25">
      <c r="A4" s="1"/>
      <c r="B4" s="87"/>
      <c r="C4" s="87"/>
      <c r="D4" s="87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9" t="s">
        <v>208</v>
      </c>
      <c r="C8" s="100"/>
      <c r="D8" s="101"/>
      <c r="E8" s="1"/>
      <c r="F8" s="1"/>
    </row>
    <row r="9" spans="1:6" ht="15" customHeight="1" x14ac:dyDescent="0.25">
      <c r="A9" s="1"/>
      <c r="B9" s="31" t="s">
        <v>35</v>
      </c>
      <c r="C9" s="11" t="s">
        <v>244</v>
      </c>
      <c r="D9" s="11"/>
      <c r="E9" s="1"/>
      <c r="F9" s="1"/>
    </row>
    <row r="10" spans="1:6" ht="15" customHeight="1" x14ac:dyDescent="0.25">
      <c r="A10" s="1"/>
      <c r="B10" s="65" t="s">
        <v>272</v>
      </c>
      <c r="C10" s="9">
        <v>1159345</v>
      </c>
      <c r="D10" s="14" t="s">
        <v>3</v>
      </c>
      <c r="E10" s="1"/>
      <c r="F10" s="1"/>
    </row>
    <row r="11" spans="1:6" ht="15" customHeight="1" x14ac:dyDescent="0.25">
      <c r="A11" s="1"/>
      <c r="B11" s="65" t="s">
        <v>273</v>
      </c>
      <c r="C11" s="9">
        <v>89468</v>
      </c>
      <c r="D11" s="14" t="s">
        <v>3</v>
      </c>
      <c r="E11" s="1"/>
      <c r="F11" s="1"/>
    </row>
    <row r="12" spans="1:6" ht="15" customHeight="1" x14ac:dyDescent="0.25">
      <c r="A12" s="1"/>
      <c r="B12" s="65" t="s">
        <v>274</v>
      </c>
      <c r="C12" s="9">
        <v>2226631</v>
      </c>
      <c r="D12" s="14" t="s">
        <v>3</v>
      </c>
      <c r="E12" s="1"/>
      <c r="F12" s="1"/>
    </row>
    <row r="13" spans="1:6" x14ac:dyDescent="0.25">
      <c r="A13" s="1"/>
      <c r="B13" s="65" t="s">
        <v>275</v>
      </c>
      <c r="C13" s="9">
        <v>485419</v>
      </c>
      <c r="D13" s="14" t="s">
        <v>3</v>
      </c>
      <c r="E13" s="1"/>
      <c r="F13" s="1"/>
    </row>
    <row r="14" spans="1:6" x14ac:dyDescent="0.25">
      <c r="A14" s="1"/>
      <c r="B14" s="65" t="s">
        <v>276</v>
      </c>
      <c r="C14" s="9">
        <v>252887</v>
      </c>
      <c r="D14" s="14" t="s">
        <v>3</v>
      </c>
      <c r="E14" s="1"/>
      <c r="F14" s="1"/>
    </row>
    <row r="15" spans="1:6" x14ac:dyDescent="0.25">
      <c r="A15" s="1"/>
      <c r="B15" s="65" t="s">
        <v>295</v>
      </c>
      <c r="C15" s="9">
        <v>39815</v>
      </c>
      <c r="D15" s="14" t="s">
        <v>3</v>
      </c>
      <c r="E15" s="1"/>
      <c r="F15" s="1"/>
    </row>
    <row r="16" spans="1:6" x14ac:dyDescent="0.25">
      <c r="A16" s="1"/>
      <c r="B16" s="38" t="s">
        <v>209</v>
      </c>
      <c r="C16" s="12">
        <f>SUM(C10:C15)</f>
        <v>4253565</v>
      </c>
      <c r="D16" s="13" t="s">
        <v>3</v>
      </c>
      <c r="E16" s="1"/>
      <c r="F16" s="1"/>
    </row>
    <row r="17" spans="1:6" x14ac:dyDescent="0.25">
      <c r="A17" s="1"/>
      <c r="B17" s="38" t="s">
        <v>210</v>
      </c>
      <c r="C17" s="12">
        <f>C16*(1+'Fane 14. Nøgletal'!C14)^2</f>
        <v>4281684.850322851</v>
      </c>
      <c r="D17" s="13" t="s">
        <v>3</v>
      </c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16"/>
      <c r="C19" s="15"/>
      <c r="D19" s="15"/>
      <c r="E19" s="1"/>
      <c r="F19" s="1"/>
    </row>
    <row r="20" spans="1:6" x14ac:dyDescent="0.25">
      <c r="A20" s="1"/>
      <c r="B20" s="99" t="s">
        <v>142</v>
      </c>
      <c r="C20" s="100"/>
      <c r="D20" s="101"/>
      <c r="E20" s="1"/>
      <c r="F20" s="1"/>
    </row>
    <row r="21" spans="1:6" x14ac:dyDescent="0.25">
      <c r="A21" s="1"/>
      <c r="B21" s="65" t="s">
        <v>116</v>
      </c>
      <c r="C21" s="9">
        <v>1678803</v>
      </c>
      <c r="D21" s="14" t="s">
        <v>3</v>
      </c>
      <c r="E21" s="1"/>
      <c r="F21" s="1"/>
    </row>
    <row r="22" spans="1:6" x14ac:dyDescent="0.25">
      <c r="A22" s="1"/>
      <c r="B22" s="65" t="s">
        <v>117</v>
      </c>
      <c r="C22" s="9">
        <v>1678803</v>
      </c>
      <c r="D22" s="14" t="s">
        <v>3</v>
      </c>
      <c r="E22" s="1"/>
      <c r="F22" s="1"/>
    </row>
    <row r="23" spans="1:6" x14ac:dyDescent="0.25">
      <c r="A23" s="1"/>
      <c r="B23" s="65" t="s">
        <v>154</v>
      </c>
      <c r="C23" s="9">
        <v>1678803</v>
      </c>
      <c r="D23" s="14" t="s">
        <v>3</v>
      </c>
      <c r="E23" s="1"/>
      <c r="F23" s="1"/>
    </row>
    <row r="24" spans="1:6" x14ac:dyDescent="0.25">
      <c r="A24" s="1"/>
      <c r="B24" s="65" t="s">
        <v>211</v>
      </c>
      <c r="C24" s="9">
        <v>1678803</v>
      </c>
      <c r="D24" s="14" t="s">
        <v>3</v>
      </c>
      <c r="E24" s="1"/>
      <c r="F24" s="1"/>
    </row>
    <row r="25" spans="1:6" x14ac:dyDescent="0.25">
      <c r="A25" s="1"/>
      <c r="B25" s="99"/>
      <c r="C25" s="100"/>
      <c r="D25" s="10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99" t="s">
        <v>115</v>
      </c>
      <c r="C28" s="100"/>
      <c r="D28" s="101"/>
      <c r="E28" s="1"/>
      <c r="F28" s="1"/>
    </row>
    <row r="29" spans="1:6" x14ac:dyDescent="0.25">
      <c r="A29" s="1"/>
      <c r="B29" s="65" t="s">
        <v>116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65" t="s">
        <v>117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65" t="s">
        <v>154</v>
      </c>
      <c r="C31" s="9">
        <v>0</v>
      </c>
      <c r="D31" s="14" t="s">
        <v>3</v>
      </c>
      <c r="E31" s="1"/>
      <c r="F31" s="1"/>
    </row>
    <row r="32" spans="1:6" x14ac:dyDescent="0.25">
      <c r="A32" s="1"/>
      <c r="B32" s="65" t="s">
        <v>211</v>
      </c>
      <c r="C32" s="9">
        <v>0</v>
      </c>
      <c r="D32" s="14" t="s">
        <v>3</v>
      </c>
      <c r="E32" s="1"/>
      <c r="F32" s="1"/>
    </row>
    <row r="33" spans="1:6" x14ac:dyDescent="0.25">
      <c r="A33" s="1"/>
      <c r="B33" s="99"/>
      <c r="C33" s="100"/>
      <c r="D33" s="10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  <row r="53" spans="1:6" x14ac:dyDescent="0.25">
      <c r="A53" s="1"/>
      <c r="B53" s="1"/>
      <c r="C53" s="1"/>
      <c r="D53" s="1"/>
      <c r="E53" s="1"/>
      <c r="F53" s="1"/>
    </row>
  </sheetData>
  <sheetProtection algorithmName="SHA-512" hashValue="lWvaazGAKnILb16hA8W2zz0cSLgLJBcedFZi7plsv4OxDnqgGsQCewf724qDnBQ8s6qI8WV/Lci9ETYvFea3RA==" saltValue="E/BTxxAZ+vArCOL+YnfCtw==" spinCount="100000" sheet="1" objects="1" scenarios="1"/>
  <mergeCells count="6">
    <mergeCell ref="B33:D33"/>
    <mergeCell ref="B3:D4"/>
    <mergeCell ref="B8:D8"/>
    <mergeCell ref="B20:D20"/>
    <mergeCell ref="B28:D28"/>
    <mergeCell ref="B25:D25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2.2851562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2" t="s">
        <v>212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ht="15" customHeight="1" x14ac:dyDescent="0.25">
      <c r="A5" s="1"/>
      <c r="B5" s="61"/>
      <c r="C5" s="61"/>
      <c r="D5" s="61"/>
      <c r="E5" s="61"/>
      <c r="F5" s="61"/>
      <c r="G5" s="1"/>
    </row>
    <row r="6" spans="1:7" ht="15" customHeight="1" x14ac:dyDescent="0.25">
      <c r="A6" s="1"/>
      <c r="B6" s="61"/>
      <c r="C6" s="61"/>
      <c r="D6" s="61"/>
      <c r="E6" s="61"/>
      <c r="F6" s="6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9" t="s">
        <v>278</v>
      </c>
      <c r="C8" s="100"/>
      <c r="D8" s="100"/>
      <c r="E8" s="100"/>
      <c r="F8" s="101"/>
      <c r="G8" s="1"/>
    </row>
    <row r="9" spans="1:7" x14ac:dyDescent="0.25">
      <c r="A9" s="1"/>
      <c r="B9" s="104" t="s">
        <v>279</v>
      </c>
      <c r="C9" s="105"/>
      <c r="D9" s="106"/>
      <c r="E9" s="9">
        <v>-2842029.0565974563</v>
      </c>
      <c r="F9" s="14" t="s">
        <v>3</v>
      </c>
      <c r="G9" s="1"/>
    </row>
    <row r="10" spans="1:7" x14ac:dyDescent="0.25">
      <c r="A10" s="1"/>
      <c r="B10" s="104" t="s">
        <v>280</v>
      </c>
      <c r="C10" s="105"/>
      <c r="D10" s="106"/>
      <c r="E10" s="9">
        <v>595142.72876031697</v>
      </c>
      <c r="F10" s="14" t="s">
        <v>3</v>
      </c>
      <c r="G10" s="1"/>
    </row>
    <row r="11" spans="1:7" x14ac:dyDescent="0.25">
      <c r="A11" s="1"/>
      <c r="B11" s="104" t="s">
        <v>281</v>
      </c>
      <c r="C11" s="105"/>
      <c r="D11" s="106"/>
      <c r="E11" s="9">
        <v>595142.72876031697</v>
      </c>
      <c r="F11" s="14" t="s">
        <v>3</v>
      </c>
      <c r="G11" s="1"/>
    </row>
    <row r="12" spans="1:7" x14ac:dyDescent="0.25">
      <c r="A12" s="1"/>
      <c r="B12" s="104" t="s">
        <v>282</v>
      </c>
      <c r="C12" s="105"/>
      <c r="D12" s="106"/>
      <c r="E12" s="9">
        <v>6134373.8662321121</v>
      </c>
      <c r="F12" s="14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51.75" customHeight="1" x14ac:dyDescent="0.25">
      <c r="A14" s="1"/>
      <c r="B14" s="89" t="s">
        <v>283</v>
      </c>
      <c r="C14" s="90"/>
      <c r="D14" s="90"/>
      <c r="E14" s="90"/>
      <c r="F14" s="91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9" t="s">
        <v>284</v>
      </c>
      <c r="C16" s="100"/>
      <c r="D16" s="100"/>
      <c r="E16" s="100"/>
      <c r="F16" s="101"/>
      <c r="G16" s="1"/>
    </row>
    <row r="17" spans="1:7" x14ac:dyDescent="0.25">
      <c r="A17" s="1"/>
      <c r="B17" s="104" t="s">
        <v>285</v>
      </c>
      <c r="C17" s="105"/>
      <c r="D17" s="106"/>
      <c r="E17" s="9">
        <v>0</v>
      </c>
      <c r="F17" s="14" t="s">
        <v>3</v>
      </c>
      <c r="G17" s="1"/>
    </row>
    <row r="18" spans="1:7" x14ac:dyDescent="0.25">
      <c r="A18" s="1"/>
      <c r="B18" s="104" t="s">
        <v>286</v>
      </c>
      <c r="C18" s="105"/>
      <c r="D18" s="106"/>
      <c r="E18" s="9">
        <v>0</v>
      </c>
      <c r="F18" s="14" t="s">
        <v>3</v>
      </c>
      <c r="G18" s="1"/>
    </row>
    <row r="19" spans="1:7" x14ac:dyDescent="0.25">
      <c r="A19" s="1"/>
      <c r="B19" s="38"/>
      <c r="C19" s="32"/>
      <c r="D19" s="32"/>
      <c r="E19" s="32"/>
      <c r="F19" s="20"/>
      <c r="G19" s="1"/>
    </row>
    <row r="20" spans="1:7" ht="29.25" customHeight="1" x14ac:dyDescent="0.25">
      <c r="A20" s="1"/>
      <c r="B20" s="89" t="s">
        <v>287</v>
      </c>
      <c r="C20" s="90"/>
      <c r="D20" s="90"/>
      <c r="E20" s="90"/>
      <c r="F20" s="9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56" t="s">
        <v>213</v>
      </c>
      <c r="C22" s="57"/>
      <c r="D22" s="57"/>
      <c r="E22" s="57"/>
      <c r="F22" s="58"/>
      <c r="G22" s="1"/>
    </row>
    <row r="23" spans="1:7" x14ac:dyDescent="0.25">
      <c r="A23" s="1"/>
      <c r="B23" s="62" t="s">
        <v>214</v>
      </c>
      <c r="C23" s="63"/>
      <c r="D23" s="64"/>
      <c r="E23" s="9">
        <v>98494983.401773557</v>
      </c>
      <c r="F23" s="14" t="s">
        <v>3</v>
      </c>
      <c r="G23" s="1"/>
    </row>
    <row r="24" spans="1:7" x14ac:dyDescent="0.25">
      <c r="A24" s="1"/>
      <c r="B24" s="62" t="s">
        <v>215</v>
      </c>
      <c r="C24" s="63"/>
      <c r="D24" s="64"/>
      <c r="E24" s="9">
        <v>100063038</v>
      </c>
      <c r="F24" s="14" t="s">
        <v>3</v>
      </c>
      <c r="G24" s="1"/>
    </row>
    <row r="25" spans="1:7" x14ac:dyDescent="0.25">
      <c r="A25" s="1"/>
      <c r="B25" s="62" t="s">
        <v>36</v>
      </c>
      <c r="C25" s="63"/>
      <c r="D25" s="64"/>
      <c r="E25" s="9">
        <v>550000</v>
      </c>
      <c r="F25" s="14" t="s">
        <v>3</v>
      </c>
      <c r="G25" s="1"/>
    </row>
    <row r="26" spans="1:7" x14ac:dyDescent="0.25">
      <c r="A26" s="1"/>
      <c r="B26" s="59" t="s">
        <v>288</v>
      </c>
      <c r="C26" s="60"/>
      <c r="D26" s="67"/>
      <c r="E26" s="48">
        <f>E23-(E24-E25)</f>
        <v>-1018054.5982264429</v>
      </c>
      <c r="F26" s="17" t="s">
        <v>3</v>
      </c>
      <c r="G26" s="1"/>
    </row>
    <row r="27" spans="1:7" x14ac:dyDescent="0.25">
      <c r="A27" s="1"/>
      <c r="B27" s="38"/>
      <c r="C27" s="32"/>
      <c r="D27" s="32"/>
      <c r="E27" s="32"/>
      <c r="F27" s="2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99" t="s">
        <v>186</v>
      </c>
      <c r="C30" s="100"/>
      <c r="D30" s="100"/>
      <c r="E30" s="100"/>
      <c r="F30" s="101"/>
      <c r="G30" s="1"/>
    </row>
    <row r="31" spans="1:7" x14ac:dyDescent="0.25">
      <c r="A31" s="1"/>
      <c r="B31" s="116" t="s">
        <v>293</v>
      </c>
      <c r="C31" s="117"/>
      <c r="D31" s="118"/>
      <c r="E31" s="9">
        <v>0</v>
      </c>
      <c r="F31" s="14"/>
      <c r="G31" s="1"/>
    </row>
    <row r="32" spans="1:7" x14ac:dyDescent="0.25">
      <c r="A32" s="1"/>
      <c r="B32" s="116" t="s">
        <v>187</v>
      </c>
      <c r="C32" s="117"/>
      <c r="D32" s="118"/>
      <c r="E32" s="9">
        <f>IF(AND(E26&gt;0,E31&gt;0),0,
IF(AND(E26&lt;0,OR(E31=1,E31=3),ABS(E26)&lt;ABS(SUM(E9:E10,E12))),0,
IF(AND(E26&lt;0,OR(E31=1,E31=3),ABS(E26)&gt;ABS(SUM(E9:E10,E12))),(E26+SUM(E9:E10,E12)),
IF(AND(E26&lt;0,E31=2,ABS(E26)&lt;ABS(SUM(E10,E12))),0,
IF(AND(E26&lt;0,E31=2,ABS(E26)&gt;ABS(SUM(E10,E12))),(E26+SUM(E10,E12)),
IF(AND(E10&lt;0,E12&gt;0,E26&lt;0,ABS(E11)&gt;ABS(E12)),E26,
IF(AND(E10&lt;0,E12&gt;0,E26&lt;0,ABS(E11)&lt;ABS(E12),ABS(SUM(E11,E12))&gt;ABS(E26)),0,
IF(AND(E10&lt;0,E12&gt;0,E26&lt;0,ABS(E11)&lt;ABS(E12),ABS(SUM(E11,E12))&lt;ABS(E26)),(ABS(SUM(E11,E12))-ABS(E26)),
IF(AND(E10&gt;0,E12&gt;0,E26&lt;0,ABS(E12)&gt;ABS(E26)),0,
IF(AND(E10&gt;0,E12&gt;0,E26&lt;0,ABS(E12)&lt;ABS(E26)),(ABS(E12)-ABS(E26)),
IF(AND(E12&lt;0,E26&lt;0),E17+E18+E26,
IF(AND(E12&lt;0,E26&gt;0),E18+E17,
IF(AND(E12&gt;0,E26&gt;0),0,"Fejl")))))))))))))</f>
        <v>0</v>
      </c>
      <c r="F32" s="14" t="s">
        <v>3</v>
      </c>
      <c r="G32" s="1"/>
    </row>
    <row r="33" spans="1:7" x14ac:dyDescent="0.25">
      <c r="A33" s="1"/>
      <c r="B33" s="116" t="s">
        <v>120</v>
      </c>
      <c r="C33" s="117"/>
      <c r="D33" s="118"/>
      <c r="E33" s="9">
        <v>2</v>
      </c>
      <c r="F33" s="14" t="s">
        <v>21</v>
      </c>
      <c r="G33" s="1"/>
    </row>
    <row r="34" spans="1:7" x14ac:dyDescent="0.25">
      <c r="A34" s="1"/>
      <c r="B34" s="119" t="s">
        <v>188</v>
      </c>
      <c r="C34" s="119"/>
      <c r="D34" s="119"/>
      <c r="E34" s="10">
        <f>E32/E33</f>
        <v>0</v>
      </c>
      <c r="F34" s="17" t="s">
        <v>3</v>
      </c>
      <c r="G34" s="1"/>
    </row>
    <row r="35" spans="1:7" x14ac:dyDescent="0.25">
      <c r="A35" s="1"/>
      <c r="B35" s="120"/>
      <c r="C35" s="121"/>
      <c r="D35" s="121"/>
      <c r="E35" s="121"/>
      <c r="F35" s="122"/>
      <c r="G35" s="1"/>
    </row>
    <row r="36" spans="1:7" ht="75" customHeight="1" x14ac:dyDescent="0.25">
      <c r="A36" s="1"/>
      <c r="B36" s="89" t="s">
        <v>292</v>
      </c>
      <c r="C36" s="90"/>
      <c r="D36" s="90"/>
      <c r="E36" s="90"/>
      <c r="F36" s="9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algorithmName="SHA-512" hashValue="gd9gbUFL4RICXNLvHr8PrfDwd6l9nwfI8A5JgS0hvGFvmXBNw81WliIM1Ex+gpaAphZFI+l+OVz6Sza2EMiTLA==" saltValue="7rVi4BDfilyv/DHvU8lasw==" spinCount="100000" sheet="1" objects="1" scenarios="1"/>
  <mergeCells count="18">
    <mergeCell ref="B20:F20"/>
    <mergeCell ref="B30:F30"/>
    <mergeCell ref="B31:D31"/>
    <mergeCell ref="B3:F4"/>
    <mergeCell ref="B16:F16"/>
    <mergeCell ref="B17:D17"/>
    <mergeCell ref="B18:D18"/>
    <mergeCell ref="B8:F8"/>
    <mergeCell ref="B9:D9"/>
    <mergeCell ref="B10:D10"/>
    <mergeCell ref="B11:D11"/>
    <mergeCell ref="B12:D12"/>
    <mergeCell ref="B14:F14"/>
    <mergeCell ref="B32:D32"/>
    <mergeCell ref="B33:D33"/>
    <mergeCell ref="B34:D34"/>
    <mergeCell ref="B35:F35"/>
    <mergeCell ref="B36:F36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2" t="s">
        <v>216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9" t="s">
        <v>217</v>
      </c>
      <c r="C9" s="100"/>
      <c r="D9" s="100"/>
      <c r="E9" s="100"/>
      <c r="F9" s="101"/>
      <c r="G9" s="1"/>
    </row>
    <row r="10" spans="1:7" x14ac:dyDescent="0.25">
      <c r="A10" s="1"/>
      <c r="B10" s="89" t="s">
        <v>118</v>
      </c>
      <c r="C10" s="90"/>
      <c r="D10" s="91"/>
      <c r="E10" s="7">
        <v>0</v>
      </c>
      <c r="F10" s="8" t="s">
        <v>3</v>
      </c>
      <c r="G10" s="1"/>
    </row>
    <row r="11" spans="1:7" x14ac:dyDescent="0.25">
      <c r="A11" s="1"/>
      <c r="B11" s="104" t="s">
        <v>218</v>
      </c>
      <c r="C11" s="105"/>
      <c r="D11" s="106"/>
      <c r="E11" s="7">
        <v>0</v>
      </c>
      <c r="F11" s="8" t="s">
        <v>3</v>
      </c>
      <c r="G11" s="1"/>
    </row>
    <row r="12" spans="1:7" x14ac:dyDescent="0.25">
      <c r="A12" s="1"/>
      <c r="B12" s="102" t="s">
        <v>119</v>
      </c>
      <c r="C12" s="103"/>
      <c r="D12" s="123"/>
      <c r="E12" s="10">
        <f>E11-E10</f>
        <v>0</v>
      </c>
      <c r="F12" s="11" t="s">
        <v>3</v>
      </c>
      <c r="G12" s="1"/>
    </row>
    <row r="13" spans="1:7" x14ac:dyDescent="0.25">
      <c r="A13" s="1"/>
      <c r="B13" s="99" t="s">
        <v>109</v>
      </c>
      <c r="C13" s="100"/>
      <c r="D13" s="100"/>
      <c r="E13" s="100"/>
      <c r="F13" s="101"/>
      <c r="G13" s="1"/>
    </row>
    <row r="14" spans="1:7" x14ac:dyDescent="0.25">
      <c r="A14" s="1"/>
      <c r="B14" s="104" t="s">
        <v>219</v>
      </c>
      <c r="C14" s="105"/>
      <c r="D14" s="106"/>
      <c r="E14" s="9">
        <v>1678803</v>
      </c>
      <c r="F14" s="8" t="s">
        <v>3</v>
      </c>
      <c r="G14" s="1"/>
    </row>
    <row r="15" spans="1:7" x14ac:dyDescent="0.25">
      <c r="A15" s="1"/>
      <c r="B15" s="89" t="s">
        <v>220</v>
      </c>
      <c r="C15" s="90"/>
      <c r="D15" s="91"/>
      <c r="E15" s="9">
        <v>151442</v>
      </c>
      <c r="F15" s="8" t="s">
        <v>3</v>
      </c>
      <c r="G15" s="1"/>
    </row>
    <row r="16" spans="1:7" x14ac:dyDescent="0.25">
      <c r="A16" s="1"/>
      <c r="B16" s="102" t="s">
        <v>119</v>
      </c>
      <c r="C16" s="103"/>
      <c r="D16" s="123"/>
      <c r="E16" s="10">
        <f>E15-E14</f>
        <v>-1527361</v>
      </c>
      <c r="F16" s="11" t="s">
        <v>3</v>
      </c>
      <c r="G16" s="1"/>
    </row>
    <row r="17" spans="1:7" x14ac:dyDescent="0.25">
      <c r="A17" s="1"/>
      <c r="B17" s="38" t="s">
        <v>221</v>
      </c>
      <c r="C17" s="32"/>
      <c r="D17" s="32"/>
      <c r="E17" s="12">
        <f>E12+E16</f>
        <v>-1527361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EW+Are1a46yDzKw3f4AGvzAWUXm5mDg8p2j2ZnwUsYqJPy/868c99zmg5UMd+Bd06TEpMwp84uCPpSz0i4woNQ==" saltValue="pUdCGoAhe8jAC1o4u1tLTw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5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177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9" t="s">
        <v>178</v>
      </c>
      <c r="C8" s="100"/>
      <c r="D8" s="100"/>
      <c r="E8" s="100"/>
      <c r="F8" s="100"/>
      <c r="G8" s="100"/>
      <c r="H8" s="101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33</v>
      </c>
      <c r="H9" s="37"/>
      <c r="I9" s="1"/>
    </row>
    <row r="10" spans="1:9" ht="26.25" x14ac:dyDescent="0.25">
      <c r="A10" s="1"/>
      <c r="B10" s="68" t="s">
        <v>261</v>
      </c>
      <c r="C10" s="49" t="s">
        <v>262</v>
      </c>
      <c r="D10" s="9">
        <v>641957.85</v>
      </c>
      <c r="E10" s="9">
        <f>IFERROR(D10/C10,0)</f>
        <v>8559.4380000000001</v>
      </c>
      <c r="F10" s="9">
        <v>0</v>
      </c>
      <c r="G10" s="9">
        <v>13545.31</v>
      </c>
      <c r="H10" s="14" t="s">
        <v>3</v>
      </c>
      <c r="I10" s="1"/>
    </row>
    <row r="11" spans="1:9" ht="26.25" x14ac:dyDescent="0.25">
      <c r="A11" s="1"/>
      <c r="B11" s="68" t="s">
        <v>263</v>
      </c>
      <c r="C11" s="49" t="s">
        <v>262</v>
      </c>
      <c r="D11" s="9">
        <v>305727.23</v>
      </c>
      <c r="E11" s="9">
        <f t="shared" ref="E11:E19" si="0">IFERROR(D11/C11,0)</f>
        <v>4076.3630666666663</v>
      </c>
      <c r="F11" s="9">
        <v>0</v>
      </c>
      <c r="G11" s="9">
        <v>6450.84</v>
      </c>
      <c r="H11" s="14" t="s">
        <v>3</v>
      </c>
      <c r="I11" s="1"/>
    </row>
    <row r="12" spans="1:9" ht="26.25" x14ac:dyDescent="0.25">
      <c r="A12" s="1"/>
      <c r="B12" s="68" t="s">
        <v>264</v>
      </c>
      <c r="C12" s="49" t="s">
        <v>262</v>
      </c>
      <c r="D12" s="9">
        <v>559460.02</v>
      </c>
      <c r="E12" s="9">
        <f t="shared" si="0"/>
        <v>7459.4669333333331</v>
      </c>
      <c r="F12" s="9">
        <v>0</v>
      </c>
      <c r="G12" s="9">
        <v>11804.61</v>
      </c>
      <c r="H12" s="14" t="s">
        <v>3</v>
      </c>
      <c r="I12" s="1"/>
    </row>
    <row r="13" spans="1:9" ht="26.25" x14ac:dyDescent="0.25">
      <c r="A13" s="1"/>
      <c r="B13" s="68" t="s">
        <v>261</v>
      </c>
      <c r="C13" s="49" t="s">
        <v>262</v>
      </c>
      <c r="D13" s="9">
        <v>357952.74</v>
      </c>
      <c r="E13" s="9">
        <f t="shared" si="0"/>
        <v>4772.7031999999999</v>
      </c>
      <c r="F13" s="9">
        <v>0</v>
      </c>
      <c r="G13" s="9">
        <v>7552.8</v>
      </c>
      <c r="H13" s="14" t="s">
        <v>3</v>
      </c>
      <c r="I13" s="1"/>
    </row>
    <row r="14" spans="1:9" x14ac:dyDescent="0.25">
      <c r="A14" s="1"/>
      <c r="B14" s="68" t="s">
        <v>265</v>
      </c>
      <c r="C14" s="49" t="s">
        <v>262</v>
      </c>
      <c r="D14" s="9">
        <v>42288.800000000003</v>
      </c>
      <c r="E14" s="9">
        <f t="shared" si="0"/>
        <v>563.85066666666671</v>
      </c>
      <c r="F14" s="9">
        <v>0</v>
      </c>
      <c r="G14" s="9">
        <v>892.29</v>
      </c>
      <c r="H14" s="14" t="s">
        <v>3</v>
      </c>
      <c r="I14" s="1"/>
    </row>
    <row r="15" spans="1:9" x14ac:dyDescent="0.25">
      <c r="A15" s="1"/>
      <c r="B15" s="68" t="s">
        <v>266</v>
      </c>
      <c r="C15" s="49" t="s">
        <v>262</v>
      </c>
      <c r="D15" s="9">
        <v>208670.96</v>
      </c>
      <c r="E15" s="9">
        <f t="shared" si="0"/>
        <v>2782.2794666666664</v>
      </c>
      <c r="F15" s="9">
        <v>0</v>
      </c>
      <c r="G15" s="9">
        <v>4402.96</v>
      </c>
      <c r="H15" s="14" t="s">
        <v>3</v>
      </c>
      <c r="I15" s="1"/>
    </row>
    <row r="16" spans="1:9" ht="39" x14ac:dyDescent="0.25">
      <c r="A16" s="1"/>
      <c r="B16" s="68" t="s">
        <v>267</v>
      </c>
      <c r="C16" s="49" t="s">
        <v>268</v>
      </c>
      <c r="D16" s="9">
        <v>182096.03</v>
      </c>
      <c r="E16" s="9">
        <f t="shared" si="0"/>
        <v>9104.8014999999996</v>
      </c>
      <c r="F16" s="9">
        <v>0</v>
      </c>
      <c r="G16" s="9">
        <v>3842.23</v>
      </c>
      <c r="H16" s="14" t="s">
        <v>3</v>
      </c>
      <c r="I16" s="1"/>
    </row>
    <row r="17" spans="1:9" ht="39" x14ac:dyDescent="0.25">
      <c r="A17" s="1"/>
      <c r="B17" s="68" t="s">
        <v>269</v>
      </c>
      <c r="C17" s="49" t="s">
        <v>270</v>
      </c>
      <c r="D17" s="9">
        <v>12709.75</v>
      </c>
      <c r="E17" s="9">
        <f t="shared" si="0"/>
        <v>1270.9749999999999</v>
      </c>
      <c r="F17" s="9">
        <v>0</v>
      </c>
      <c r="G17" s="9">
        <v>268.18</v>
      </c>
      <c r="H17" s="14" t="s">
        <v>3</v>
      </c>
      <c r="I17" s="1"/>
    </row>
    <row r="18" spans="1:9" ht="26.25" x14ac:dyDescent="0.25">
      <c r="A18" s="1"/>
      <c r="B18" s="68" t="s">
        <v>261</v>
      </c>
      <c r="C18" s="49" t="s">
        <v>262</v>
      </c>
      <c r="D18" s="9">
        <v>77642</v>
      </c>
      <c r="E18" s="9">
        <f t="shared" si="0"/>
        <v>1035.2266666666667</v>
      </c>
      <c r="F18" s="9">
        <v>0</v>
      </c>
      <c r="G18" s="9">
        <v>1638.25</v>
      </c>
      <c r="H18" s="14" t="s">
        <v>3</v>
      </c>
      <c r="I18" s="1"/>
    </row>
    <row r="19" spans="1:9" ht="26.25" x14ac:dyDescent="0.25">
      <c r="A19" s="1"/>
      <c r="B19" s="68" t="s">
        <v>263</v>
      </c>
      <c r="C19" s="49" t="s">
        <v>262</v>
      </c>
      <c r="D19" s="9">
        <v>9988441</v>
      </c>
      <c r="E19" s="9">
        <f t="shared" si="0"/>
        <v>133179.21333333335</v>
      </c>
      <c r="F19" s="9">
        <v>0</v>
      </c>
      <c r="G19" s="9">
        <v>210756.11</v>
      </c>
      <c r="H19" s="14" t="s">
        <v>3</v>
      </c>
      <c r="I19" s="1"/>
    </row>
    <row r="20" spans="1:9" x14ac:dyDescent="0.25">
      <c r="A20" s="1"/>
      <c r="B20" s="99" t="s">
        <v>179</v>
      </c>
      <c r="C20" s="100"/>
      <c r="D20" s="101"/>
      <c r="E20" s="12">
        <f>SUM(E10:E19)</f>
        <v>172804.31783333333</v>
      </c>
      <c r="F20" s="12">
        <f>SUM(F10:F19)</f>
        <v>0</v>
      </c>
      <c r="G20" s="12">
        <f>SUM(G10:G19)</f>
        <v>261153.58</v>
      </c>
      <c r="H20" s="13" t="s">
        <v>3</v>
      </c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</sheetData>
  <sheetProtection algorithmName="SHA-512" hashValue="OmmaPtmv7wP/eWExurJ++6GYdTSkziaSf/9TfhDzVHG3rf8ZeiYi6qH1k66EmmVzhZXcjo0JyArkKNDQdU4JdQ==" saltValue="WjtJcngh/5D2sBWFuQEBUQ==" spinCount="100000" sheet="1" objects="1" scenarios="1"/>
  <mergeCells count="3">
    <mergeCell ref="B3:H4"/>
    <mergeCell ref="B20:D20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135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88</v>
      </c>
      <c r="C8" s="32"/>
      <c r="D8" s="32"/>
      <c r="E8" s="32"/>
      <c r="F8" s="20"/>
      <c r="G8" s="1"/>
    </row>
    <row r="9" spans="1:7" ht="17.25" customHeight="1" x14ac:dyDescent="0.25">
      <c r="A9" s="1"/>
      <c r="B9" s="54" t="s">
        <v>18</v>
      </c>
      <c r="C9" s="54" t="s">
        <v>12</v>
      </c>
      <c r="D9" s="55"/>
      <c r="E9" s="54" t="s">
        <v>34</v>
      </c>
      <c r="F9" s="37"/>
      <c r="G9" s="1"/>
    </row>
    <row r="10" spans="1:7" x14ac:dyDescent="0.25">
      <c r="A10" s="1"/>
      <c r="B10" s="25" t="s">
        <v>180</v>
      </c>
      <c r="C10" s="22">
        <f>'Fane 9. Anlægsprojekter'!F20</f>
        <v>0</v>
      </c>
      <c r="D10" s="14" t="s">
        <v>3</v>
      </c>
      <c r="E10" s="9">
        <f>SUM('Fane 9. Anlægsprojekter'!E20,'Fane 9. Anlægsprojekter'!G20)</f>
        <v>433957.89783333335</v>
      </c>
      <c r="F10" s="14" t="s">
        <v>3</v>
      </c>
      <c r="G10" s="1"/>
    </row>
    <row r="11" spans="1:7" x14ac:dyDescent="0.25">
      <c r="A11" s="1"/>
      <c r="B11" s="47" t="s">
        <v>290</v>
      </c>
      <c r="C11" s="22">
        <v>0</v>
      </c>
      <c r="D11" s="14" t="s">
        <v>3</v>
      </c>
      <c r="E11" s="9">
        <v>196073</v>
      </c>
      <c r="F11" s="14" t="s">
        <v>3</v>
      </c>
      <c r="G11" s="1"/>
    </row>
    <row r="12" spans="1:7" x14ac:dyDescent="0.25">
      <c r="A12" s="1"/>
      <c r="B12" s="25" t="s">
        <v>291</v>
      </c>
      <c r="C12" s="22">
        <v>208566</v>
      </c>
      <c r="D12" s="14" t="s">
        <v>3</v>
      </c>
      <c r="E12" s="9">
        <v>912914</v>
      </c>
      <c r="F12" s="14" t="s">
        <v>3</v>
      </c>
      <c r="G12" s="1"/>
    </row>
    <row r="13" spans="1:7" x14ac:dyDescent="0.25">
      <c r="A13" s="1"/>
      <c r="B13" s="38" t="s">
        <v>163</v>
      </c>
      <c r="C13" s="12">
        <f>SUM(C10:C12)</f>
        <v>208566</v>
      </c>
      <c r="D13" s="13" t="s">
        <v>3</v>
      </c>
      <c r="E13" s="12">
        <f>SUM(E10:E12)</f>
        <v>1542944.8978333334</v>
      </c>
      <c r="F13" s="13" t="s">
        <v>3</v>
      </c>
      <c r="G13" s="1"/>
    </row>
    <row r="14" spans="1:7" x14ac:dyDescent="0.25">
      <c r="A14" s="1"/>
      <c r="B14" s="38" t="s">
        <v>222</v>
      </c>
      <c r="C14" s="12">
        <f>C13*(1+'Fane 14. Nøgletal'!C14)</f>
        <v>209254.26780000003</v>
      </c>
      <c r="D14" s="13" t="s">
        <v>3</v>
      </c>
      <c r="E14" s="12">
        <f>E13*(1+'Fane 14. Nøgletal'!C14)</f>
        <v>1548036.6159961834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rx4o4AYflDqcOR+OnlO0BvYAjhDXnilUfRPBfRrLETCLhRkMmgNg0ZJn0GsYo3lM1KV4HKvAg0A1gGCrQ3DVmA==" saltValue="z/ebEctWlk5nir8ehHLF3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134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9" t="s">
        <v>112</v>
      </c>
      <c r="C8" s="100"/>
      <c r="D8" s="100"/>
      <c r="E8" s="100"/>
      <c r="F8" s="101"/>
      <c r="G8" s="1"/>
    </row>
    <row r="9" spans="1:7" x14ac:dyDescent="0.25">
      <c r="A9" s="1"/>
      <c r="B9" s="54" t="s">
        <v>18</v>
      </c>
      <c r="C9" s="54" t="s">
        <v>12</v>
      </c>
      <c r="D9" s="55"/>
      <c r="E9" s="54" t="s">
        <v>34</v>
      </c>
      <c r="F9" s="37"/>
      <c r="G9" s="1"/>
    </row>
    <row r="10" spans="1:7" x14ac:dyDescent="0.25">
      <c r="A10" s="1"/>
      <c r="B10" s="25" t="s">
        <v>294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krav'!G12</f>
        <v>0</v>
      </c>
      <c r="D12" s="29" t="s">
        <v>3</v>
      </c>
      <c r="E12" s="28">
        <f>-E11*'Fane 5. Individuelt eff. krav'!G12</f>
        <v>0</v>
      </c>
      <c r="F12" s="29" t="s">
        <v>3</v>
      </c>
      <c r="G12" s="1"/>
    </row>
    <row r="13" spans="1:7" x14ac:dyDescent="0.25">
      <c r="A13" s="1"/>
      <c r="B13" s="27" t="s">
        <v>114</v>
      </c>
      <c r="C13" s="28">
        <f>-C11*'Fane 14. Nøgletal'!C29</f>
        <v>0</v>
      </c>
      <c r="D13" s="29" t="s">
        <v>3</v>
      </c>
      <c r="E13" s="28">
        <f>-E11*'Fane 14. Nøgletal'!C24</f>
        <v>0</v>
      </c>
      <c r="F13" s="29" t="s">
        <v>3</v>
      </c>
      <c r="G13" s="1"/>
    </row>
    <row r="14" spans="1:7" x14ac:dyDescent="0.25">
      <c r="A14" s="1"/>
      <c r="B14" s="38" t="s">
        <v>164</v>
      </c>
      <c r="C14" s="12">
        <f>SUM(C11:C13)*(1+'Fane 14. Nøgletal'!C14)^2</f>
        <v>0</v>
      </c>
      <c r="D14" s="13" t="s">
        <v>3</v>
      </c>
      <c r="E14" s="12">
        <f>SUM(E11:E13)*(1+'Fane 14.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9" t="s">
        <v>113</v>
      </c>
      <c r="C16" s="100"/>
      <c r="D16" s="100"/>
      <c r="E16" s="100"/>
      <c r="F16" s="101"/>
      <c r="G16" s="1"/>
    </row>
    <row r="17" spans="1:7" x14ac:dyDescent="0.25">
      <c r="A17" s="1"/>
      <c r="B17" s="54" t="s">
        <v>18</v>
      </c>
      <c r="C17" s="54" t="s">
        <v>12</v>
      </c>
      <c r="D17" s="55"/>
      <c r="E17" s="54" t="s">
        <v>34</v>
      </c>
      <c r="F17" s="37"/>
      <c r="G17" s="1"/>
    </row>
    <row r="18" spans="1:7" x14ac:dyDescent="0.25">
      <c r="A18" s="1"/>
      <c r="B18" s="25" t="s">
        <v>294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223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krav'!G12</f>
        <v>0</v>
      </c>
      <c r="D20" s="29" t="s">
        <v>3</v>
      </c>
      <c r="E20" s="28">
        <f>-E19*'Fane 5. Individuelt eff. krav'!G12</f>
        <v>0</v>
      </c>
      <c r="F20" s="29" t="s">
        <v>3</v>
      </c>
      <c r="G20" s="1"/>
    </row>
    <row r="21" spans="1:7" x14ac:dyDescent="0.25">
      <c r="A21" s="1"/>
      <c r="B21" s="27" t="s">
        <v>114</v>
      </c>
      <c r="C21" s="28">
        <f>-C19*'Fane 14. Nøgletal'!C29</f>
        <v>0</v>
      </c>
      <c r="D21" s="29" t="s">
        <v>3</v>
      </c>
      <c r="E21" s="28">
        <f>-E19*'Fane 14. Nøgletal'!C24</f>
        <v>0</v>
      </c>
      <c r="F21" s="29" t="s">
        <v>3</v>
      </c>
      <c r="G21" s="1"/>
    </row>
    <row r="22" spans="1:7" x14ac:dyDescent="0.25">
      <c r="A22" s="1"/>
      <c r="B22" s="38" t="s">
        <v>165</v>
      </c>
      <c r="C22" s="12">
        <f>SUM(C19:C21)*(1+'Fane 14. Nøgletal'!C14)^3</f>
        <v>0</v>
      </c>
      <c r="D22" s="13" t="s">
        <v>3</v>
      </c>
      <c r="E22" s="12">
        <f>SUM(E19:E21)*(1+'Fane 14.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9" t="s">
        <v>166</v>
      </c>
      <c r="C24" s="100"/>
      <c r="D24" s="100"/>
      <c r="E24" s="100"/>
      <c r="F24" s="101"/>
      <c r="G24" s="1"/>
    </row>
    <row r="25" spans="1:7" x14ac:dyDescent="0.25">
      <c r="A25" s="1"/>
      <c r="B25" s="54" t="s">
        <v>18</v>
      </c>
      <c r="C25" s="54" t="s">
        <v>12</v>
      </c>
      <c r="D25" s="55"/>
      <c r="E25" s="54" t="s">
        <v>34</v>
      </c>
      <c r="F25" s="37"/>
      <c r="G25" s="1"/>
    </row>
    <row r="26" spans="1:7" x14ac:dyDescent="0.25">
      <c r="A26" s="1"/>
      <c r="B26" s="25" t="s">
        <v>294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223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krav'!G12</f>
        <v>0</v>
      </c>
      <c r="D28" s="29" t="s">
        <v>3</v>
      </c>
      <c r="E28" s="28">
        <f>-E27*'Fane 5. Individuelt eff. krav'!G12</f>
        <v>0</v>
      </c>
      <c r="F28" s="29" t="s">
        <v>3</v>
      </c>
      <c r="G28" s="1"/>
    </row>
    <row r="29" spans="1:7" x14ac:dyDescent="0.25">
      <c r="A29" s="1"/>
      <c r="B29" s="27" t="s">
        <v>114</v>
      </c>
      <c r="C29" s="28">
        <f>-C27*'Fane 14. Nøgletal'!C29</f>
        <v>0</v>
      </c>
      <c r="D29" s="29" t="s">
        <v>3</v>
      </c>
      <c r="E29" s="28">
        <f>-E27*'Fane 14. Nøgletal'!C24</f>
        <v>0</v>
      </c>
      <c r="F29" s="29" t="s">
        <v>3</v>
      </c>
      <c r="G29" s="1"/>
    </row>
    <row r="30" spans="1:7" x14ac:dyDescent="0.25">
      <c r="A30" s="1"/>
      <c r="B30" s="38" t="s">
        <v>167</v>
      </c>
      <c r="C30" s="12">
        <f>SUM(C27:C29)*(1+'Fane 14. Nøgletal'!C14)^4</f>
        <v>0</v>
      </c>
      <c r="D30" s="13" t="s">
        <v>3</v>
      </c>
      <c r="E30" s="12">
        <f>SUM(E27:E29)*(1+'Fane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9" t="s">
        <v>224</v>
      </c>
      <c r="C32" s="100"/>
      <c r="D32" s="100"/>
      <c r="E32" s="100"/>
      <c r="F32" s="101"/>
      <c r="G32" s="1"/>
    </row>
    <row r="33" spans="1:7" x14ac:dyDescent="0.25">
      <c r="A33" s="1"/>
      <c r="B33" s="54" t="s">
        <v>18</v>
      </c>
      <c r="C33" s="54" t="s">
        <v>12</v>
      </c>
      <c r="D33" s="55"/>
      <c r="E33" s="54" t="s">
        <v>34</v>
      </c>
      <c r="F33" s="37"/>
      <c r="G33" s="1"/>
    </row>
    <row r="34" spans="1:7" x14ac:dyDescent="0.25">
      <c r="A34" s="1"/>
      <c r="B34" s="25" t="s">
        <v>294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223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krav'!G12</f>
        <v>0</v>
      </c>
      <c r="D36" s="29" t="s">
        <v>3</v>
      </c>
      <c r="E36" s="28">
        <f>-E35*'Fane 5. Individuelt eff. krav'!G12</f>
        <v>0</v>
      </c>
      <c r="F36" s="29" t="s">
        <v>3</v>
      </c>
      <c r="G36" s="1"/>
    </row>
    <row r="37" spans="1:7" x14ac:dyDescent="0.25">
      <c r="A37" s="1"/>
      <c r="B37" s="27" t="s">
        <v>114</v>
      </c>
      <c r="C37" s="28">
        <f>-C35*'Fane 14. Nøgletal'!C29</f>
        <v>0</v>
      </c>
      <c r="D37" s="29" t="s">
        <v>3</v>
      </c>
      <c r="E37" s="28">
        <f>-E35*'Fane 14. Nøgletal'!C24</f>
        <v>0</v>
      </c>
      <c r="F37" s="29" t="s">
        <v>3</v>
      </c>
      <c r="G37" s="1"/>
    </row>
    <row r="38" spans="1:7" x14ac:dyDescent="0.25">
      <c r="A38" s="1"/>
      <c r="B38" s="38" t="s">
        <v>225</v>
      </c>
      <c r="C38" s="12">
        <f>SUM(C35:C37)*(1+'Fane 14. Nøgletal'!C14)^5</f>
        <v>0</v>
      </c>
      <c r="D38" s="13" t="s">
        <v>3</v>
      </c>
      <c r="E38" s="12">
        <f>SUM(E35:E37)*(1+'Fane 14.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8CZmGu1PkbBDOVnCPM2cc2fgoBdSt7pyAEwjBjwoiERZIA+9Zg6AIoXzCb0hHmZ3gbgqqHfFyU8ALKvLTp1FmA==" saltValue="NTyzXe3t35J5JEAXsZO9x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136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92"/>
      <c r="C5" s="92"/>
      <c r="D5" s="92"/>
      <c r="E5" s="92"/>
      <c r="F5" s="92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9" t="s">
        <v>103</v>
      </c>
      <c r="C8" s="100"/>
      <c r="D8" s="100"/>
      <c r="E8" s="100"/>
      <c r="F8" s="101"/>
      <c r="G8" s="1"/>
    </row>
    <row r="9" spans="1:7" x14ac:dyDescent="0.25">
      <c r="A9" s="1"/>
      <c r="B9" s="124" t="s">
        <v>226</v>
      </c>
      <c r="C9" s="125"/>
      <c r="D9" s="126"/>
      <c r="E9" s="9">
        <v>0</v>
      </c>
      <c r="F9" s="14" t="s">
        <v>3</v>
      </c>
      <c r="G9" s="1"/>
    </row>
    <row r="10" spans="1:7" x14ac:dyDescent="0.25">
      <c r="A10" s="1"/>
      <c r="B10" s="93" t="s">
        <v>10</v>
      </c>
      <c r="C10" s="94"/>
      <c r="D10" s="95"/>
      <c r="E10" s="9">
        <f>-E9*'Fane 5. Individuelt eff. krav'!G12</f>
        <v>0</v>
      </c>
      <c r="F10" s="14" t="s">
        <v>3</v>
      </c>
      <c r="G10" s="1"/>
    </row>
    <row r="11" spans="1:7" x14ac:dyDescent="0.25">
      <c r="A11" s="1"/>
      <c r="B11" s="93" t="s">
        <v>26</v>
      </c>
      <c r="C11" s="94"/>
      <c r="D11" s="95"/>
      <c r="E11" s="9">
        <f>-E9*'Fane 14. Nøgletal'!C29</f>
        <v>0</v>
      </c>
      <c r="F11" s="14" t="s">
        <v>3</v>
      </c>
      <c r="G11" s="1"/>
    </row>
    <row r="12" spans="1:7" x14ac:dyDescent="0.25">
      <c r="A12" s="1"/>
      <c r="B12" s="99" t="s">
        <v>105</v>
      </c>
      <c r="C12" s="100"/>
      <c r="D12" s="101"/>
      <c r="E12" s="12">
        <f>SUM(E9:E11)*(1+'Fane 14. Nøgletal'!C14)^2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9" t="s">
        <v>104</v>
      </c>
      <c r="C14" s="100"/>
      <c r="D14" s="100"/>
      <c r="E14" s="100"/>
      <c r="F14" s="101"/>
      <c r="G14" s="1"/>
    </row>
    <row r="15" spans="1:7" ht="15" customHeight="1" x14ac:dyDescent="0.25">
      <c r="A15" s="1"/>
      <c r="B15" s="124" t="s">
        <v>226</v>
      </c>
      <c r="C15" s="125"/>
      <c r="D15" s="126"/>
      <c r="E15" s="9">
        <v>0</v>
      </c>
      <c r="F15" s="14" t="s">
        <v>3</v>
      </c>
      <c r="G15" s="1"/>
    </row>
    <row r="16" spans="1:7" x14ac:dyDescent="0.25">
      <c r="A16" s="1"/>
      <c r="B16" s="93" t="s">
        <v>10</v>
      </c>
      <c r="C16" s="94"/>
      <c r="D16" s="95"/>
      <c r="E16" s="9">
        <f>-E15*'Fane 5. Individuelt eff. krav'!G12</f>
        <v>0</v>
      </c>
      <c r="F16" s="14" t="s">
        <v>3</v>
      </c>
      <c r="G16" s="1"/>
    </row>
    <row r="17" spans="1:7" x14ac:dyDescent="0.25">
      <c r="A17" s="1"/>
      <c r="B17" s="93" t="s">
        <v>26</v>
      </c>
      <c r="C17" s="94"/>
      <c r="D17" s="95"/>
      <c r="E17" s="9">
        <f>-E15*'Fane 14. Nøgletal'!C29</f>
        <v>0</v>
      </c>
      <c r="F17" s="14" t="s">
        <v>3</v>
      </c>
      <c r="G17" s="1"/>
    </row>
    <row r="18" spans="1:7" x14ac:dyDescent="0.25">
      <c r="A18" s="1"/>
      <c r="B18" s="99" t="s">
        <v>106</v>
      </c>
      <c r="C18" s="100"/>
      <c r="D18" s="101"/>
      <c r="E18" s="12">
        <f>SUM(E15:E17)*(1+'Fane 14. Nøgletal'!C14)^3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9" t="s">
        <v>155</v>
      </c>
      <c r="C20" s="100"/>
      <c r="D20" s="100"/>
      <c r="E20" s="100"/>
      <c r="F20" s="101"/>
      <c r="G20" s="1"/>
    </row>
    <row r="21" spans="1:7" ht="15" customHeight="1" x14ac:dyDescent="0.25">
      <c r="A21" s="1"/>
      <c r="B21" s="124" t="s">
        <v>226</v>
      </c>
      <c r="C21" s="125"/>
      <c r="D21" s="126"/>
      <c r="E21" s="9">
        <v>0</v>
      </c>
      <c r="F21" s="14" t="s">
        <v>3</v>
      </c>
      <c r="G21" s="1"/>
    </row>
    <row r="22" spans="1:7" x14ac:dyDescent="0.25">
      <c r="A22" s="1"/>
      <c r="B22" s="93" t="s">
        <v>10</v>
      </c>
      <c r="C22" s="94"/>
      <c r="D22" s="95"/>
      <c r="E22" s="9">
        <f>-E21*'Fane 5. Individuelt eff. krav'!G12</f>
        <v>0</v>
      </c>
      <c r="F22" s="14" t="s">
        <v>3</v>
      </c>
      <c r="G22" s="1"/>
    </row>
    <row r="23" spans="1:7" x14ac:dyDescent="0.25">
      <c r="A23" s="1"/>
      <c r="B23" s="93" t="s">
        <v>26</v>
      </c>
      <c r="C23" s="94"/>
      <c r="D23" s="95"/>
      <c r="E23" s="9">
        <f>-E21*'Fane 14. Nøgletal'!C29</f>
        <v>0</v>
      </c>
      <c r="F23" s="14" t="s">
        <v>3</v>
      </c>
      <c r="G23" s="1"/>
    </row>
    <row r="24" spans="1:7" x14ac:dyDescent="0.25">
      <c r="A24" s="1"/>
      <c r="B24" s="99" t="s">
        <v>156</v>
      </c>
      <c r="C24" s="100"/>
      <c r="D24" s="101"/>
      <c r="E24" s="12">
        <f>SUM(E21:E23)*(1+'Fane 14. Nøgletal'!C14)^4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9" t="s">
        <v>227</v>
      </c>
      <c r="C26" s="100"/>
      <c r="D26" s="100"/>
      <c r="E26" s="100"/>
      <c r="F26" s="101"/>
      <c r="G26" s="1"/>
    </row>
    <row r="27" spans="1:7" ht="15" customHeight="1" x14ac:dyDescent="0.25">
      <c r="A27" s="1"/>
      <c r="B27" s="124" t="s">
        <v>226</v>
      </c>
      <c r="C27" s="125"/>
      <c r="D27" s="126"/>
      <c r="E27" s="9">
        <v>0</v>
      </c>
      <c r="F27" s="14" t="s">
        <v>3</v>
      </c>
      <c r="G27" s="1"/>
    </row>
    <row r="28" spans="1:7" x14ac:dyDescent="0.25">
      <c r="A28" s="1"/>
      <c r="B28" s="93" t="s">
        <v>10</v>
      </c>
      <c r="C28" s="94"/>
      <c r="D28" s="95"/>
      <c r="E28" s="9">
        <f>-E27*'Fane 5. Individuelt eff. krav'!G12</f>
        <v>0</v>
      </c>
      <c r="F28" s="14" t="s">
        <v>3</v>
      </c>
      <c r="G28" s="1"/>
    </row>
    <row r="29" spans="1:7" x14ac:dyDescent="0.25">
      <c r="A29" s="1"/>
      <c r="B29" s="93" t="s">
        <v>26</v>
      </c>
      <c r="C29" s="94"/>
      <c r="D29" s="95"/>
      <c r="E29" s="9">
        <f>-E27*'Fane 14. Nøgletal'!C29</f>
        <v>0</v>
      </c>
      <c r="F29" s="14" t="s">
        <v>3</v>
      </c>
      <c r="G29" s="1"/>
    </row>
    <row r="30" spans="1:7" x14ac:dyDescent="0.25">
      <c r="A30" s="1"/>
      <c r="B30" s="99" t="s">
        <v>228</v>
      </c>
      <c r="C30" s="100"/>
      <c r="D30" s="101"/>
      <c r="E30" s="12">
        <f>SUM(E27:E29)*(1+'Fane 14. Nøgletal'!C14)^5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8B/w4vx5jHWgyyx5PDr3ApJ6cLHpvwHXTiLggP7OC1LH87XMekG5pylPCDWE/qb0b3ezvtUTSgA2TVGGe3HZVQ==" saltValue="o38ZQwRT53AG6ULo251Dgw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157</v>
      </c>
      <c r="C3" s="92"/>
      <c r="D3" s="92"/>
      <c r="E3" s="92"/>
      <c r="F3" s="92"/>
      <c r="G3" s="1"/>
    </row>
    <row r="4" spans="1:7" ht="25.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9" t="s">
        <v>158</v>
      </c>
      <c r="C8" s="100"/>
      <c r="D8" s="100"/>
      <c r="E8" s="100"/>
      <c r="F8" s="101"/>
      <c r="G8" s="1"/>
    </row>
    <row r="9" spans="1:7" ht="15" customHeight="1" x14ac:dyDescent="0.25">
      <c r="A9" s="1"/>
      <c r="B9" s="36" t="s">
        <v>159</v>
      </c>
      <c r="C9" s="36" t="s">
        <v>12</v>
      </c>
      <c r="D9" s="37"/>
      <c r="E9" s="36" t="s">
        <v>34</v>
      </c>
      <c r="F9" s="37"/>
      <c r="G9" s="1"/>
    </row>
    <row r="10" spans="1:7" x14ac:dyDescent="0.25">
      <c r="A10" s="1"/>
      <c r="B10" s="25" t="s">
        <v>271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168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fr/tpXjuaCS0IddEpDwylH+tAyTOibgAs/pBApMunUQCP7UFARDvKQPU/sCUd0G0dcyvWGg8KiGO0nAzjOeO/w==" saltValue="NV1rflLEtgV8xL+JvEVBZQ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133</v>
      </c>
      <c r="C3" s="92"/>
      <c r="D3" s="92"/>
      <c r="E3" s="92"/>
      <c r="F3" s="92"/>
      <c r="G3" s="1"/>
    </row>
    <row r="4" spans="1:7" ht="25.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9" t="s">
        <v>107</v>
      </c>
      <c r="C8" s="100"/>
      <c r="D8" s="100"/>
      <c r="E8" s="100"/>
      <c r="F8" s="101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34</v>
      </c>
      <c r="F9" s="37"/>
      <c r="G9" s="1"/>
    </row>
    <row r="10" spans="1:7" x14ac:dyDescent="0.25">
      <c r="A10" s="1"/>
      <c r="B10" s="25" t="s">
        <v>277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98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99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9" t="s">
        <v>108</v>
      </c>
      <c r="C14" s="100"/>
      <c r="D14" s="100"/>
      <c r="E14" s="100"/>
      <c r="F14" s="101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34</v>
      </c>
      <c r="F15" s="37"/>
      <c r="G15" s="1"/>
    </row>
    <row r="16" spans="1:7" x14ac:dyDescent="0.25">
      <c r="A16" s="1"/>
      <c r="B16" s="25" t="s">
        <v>277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98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100</v>
      </c>
      <c r="C18" s="12">
        <f>C17*(1+'Fane 14. Nøgletal'!C14)^2</f>
        <v>0</v>
      </c>
      <c r="D18" s="13" t="s">
        <v>3</v>
      </c>
      <c r="E18" s="12">
        <f>E17*(1+'Fane 14. Nøgletal'!C14)^2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9" t="s">
        <v>169</v>
      </c>
      <c r="C20" s="100"/>
      <c r="D20" s="100"/>
      <c r="E20" s="100"/>
      <c r="F20" s="101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34</v>
      </c>
      <c r="F21" s="37"/>
      <c r="G21" s="1"/>
    </row>
    <row r="22" spans="1:7" x14ac:dyDescent="0.25">
      <c r="A22" s="1"/>
      <c r="B22" s="25" t="s">
        <v>277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98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170</v>
      </c>
      <c r="C24" s="12">
        <f>C23*(1+'Fane 14. Nøgletal'!C14)^3</f>
        <v>0</v>
      </c>
      <c r="D24" s="13" t="s">
        <v>3</v>
      </c>
      <c r="E24" s="12">
        <f>E23*(1+'Fane 14. Nøgletal'!C14)^3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9" t="s">
        <v>231</v>
      </c>
      <c r="C26" s="100"/>
      <c r="D26" s="100"/>
      <c r="E26" s="100"/>
      <c r="F26" s="101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34</v>
      </c>
      <c r="F27" s="37"/>
      <c r="G27" s="1"/>
    </row>
    <row r="28" spans="1:7" x14ac:dyDescent="0.25">
      <c r="A28" s="1"/>
      <c r="B28" s="25" t="s">
        <v>277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98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230</v>
      </c>
      <c r="C30" s="12">
        <f>C29*(1+'Fane 14. Nøgletal'!C14)^4</f>
        <v>0</v>
      </c>
      <c r="D30" s="13" t="s">
        <v>3</v>
      </c>
      <c r="E30" s="12">
        <f>E29*(1+'Fane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llp7fnvmzwvxXvP7uUsASlKhtYj4r+MEEPO5AJM25YGDmlSvfRrF6Qq8xcbtdV2KdB9KNVxIKMTzk/K99xLkAg==" saltValue="jwBwOKMfuGc95dS98kSux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2" t="s">
        <v>189</v>
      </c>
      <c r="C3" s="92"/>
      <c r="D3" s="1"/>
    </row>
    <row r="4" spans="1:4" ht="25.5" customHeight="1" x14ac:dyDescent="0.25">
      <c r="A4" s="1"/>
      <c r="B4" s="92"/>
      <c r="C4" s="92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65" t="s">
        <v>137</v>
      </c>
      <c r="C9" s="26">
        <v>1.2699999999999999E-2</v>
      </c>
      <c r="D9" s="1"/>
    </row>
    <row r="10" spans="1:4" x14ac:dyDescent="0.25">
      <c r="A10" s="1"/>
      <c r="B10" s="65" t="s">
        <v>138</v>
      </c>
      <c r="C10" s="26">
        <v>1.7500000000000002E-2</v>
      </c>
      <c r="D10" s="1"/>
    </row>
    <row r="11" spans="1:4" x14ac:dyDescent="0.25">
      <c r="A11" s="1"/>
      <c r="B11" s="65" t="s">
        <v>24</v>
      </c>
      <c r="C11" s="26">
        <v>1.6899999999999998E-2</v>
      </c>
      <c r="D11" s="1"/>
    </row>
    <row r="12" spans="1:4" x14ac:dyDescent="0.25">
      <c r="A12" s="1"/>
      <c r="B12" s="39" t="s">
        <v>254</v>
      </c>
      <c r="C12" s="40">
        <v>1.9699999999999999E-2</v>
      </c>
      <c r="D12" s="1"/>
    </row>
    <row r="13" spans="1:4" x14ac:dyDescent="0.25">
      <c r="A13" s="1"/>
      <c r="B13" s="39" t="s">
        <v>162</v>
      </c>
      <c r="C13" s="40">
        <v>1.2200000000000001E-2</v>
      </c>
      <c r="D13" s="1"/>
    </row>
    <row r="14" spans="1:4" x14ac:dyDescent="0.25">
      <c r="A14" s="1"/>
      <c r="B14" s="65" t="s">
        <v>253</v>
      </c>
      <c r="C14" s="50">
        <v>3.3E-3</v>
      </c>
      <c r="D14" s="1"/>
    </row>
    <row r="15" spans="1:4" x14ac:dyDescent="0.25">
      <c r="A15" s="1"/>
      <c r="B15" s="38"/>
      <c r="C15" s="20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38" t="s">
        <v>121</v>
      </c>
      <c r="C18" s="20"/>
      <c r="D18" s="1"/>
    </row>
    <row r="19" spans="1:4" x14ac:dyDescent="0.25">
      <c r="A19" s="1"/>
      <c r="B19" s="65" t="s">
        <v>139</v>
      </c>
      <c r="C19" s="23">
        <v>9.1000000000000004E-3</v>
      </c>
      <c r="D19" s="1"/>
    </row>
    <row r="20" spans="1:4" x14ac:dyDescent="0.25">
      <c r="A20" s="1"/>
      <c r="B20" s="65" t="s">
        <v>190</v>
      </c>
      <c r="C20" s="23">
        <v>1.77E-2</v>
      </c>
      <c r="D20" s="1"/>
    </row>
    <row r="21" spans="1:4" x14ac:dyDescent="0.25">
      <c r="A21" s="1"/>
      <c r="B21" s="65" t="s">
        <v>191</v>
      </c>
      <c r="C21" s="23">
        <v>8.6999999999999994E-3</v>
      </c>
      <c r="D21" s="1"/>
    </row>
    <row r="22" spans="1:4" x14ac:dyDescent="0.25">
      <c r="A22" s="1"/>
      <c r="B22" s="65" t="s">
        <v>140</v>
      </c>
      <c r="C22" s="41">
        <v>2.8400000000000002E-2</v>
      </c>
      <c r="D22" s="1"/>
    </row>
    <row r="23" spans="1:4" x14ac:dyDescent="0.25">
      <c r="A23" s="1"/>
      <c r="B23" s="65" t="s">
        <v>192</v>
      </c>
      <c r="C23" s="41">
        <v>2.75E-2</v>
      </c>
      <c r="D23" s="1"/>
    </row>
    <row r="24" spans="1:4" x14ac:dyDescent="0.25">
      <c r="A24" s="1"/>
      <c r="B24" s="65" t="s">
        <v>193</v>
      </c>
      <c r="C24" s="41">
        <v>1.4800000000000001E-2</v>
      </c>
      <c r="D24" s="1"/>
    </row>
    <row r="25" spans="1:4" x14ac:dyDescent="0.25">
      <c r="A25" s="1"/>
      <c r="B25" s="38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38" t="s">
        <v>122</v>
      </c>
      <c r="C28" s="20"/>
      <c r="D28" s="1"/>
    </row>
    <row r="29" spans="1:4" x14ac:dyDescent="0.25">
      <c r="A29" s="1"/>
      <c r="B29" s="65" t="s">
        <v>141</v>
      </c>
      <c r="C29" s="26">
        <v>0.02</v>
      </c>
      <c r="D29" s="1"/>
    </row>
    <row r="30" spans="1:4" x14ac:dyDescent="0.25">
      <c r="A30" s="1"/>
      <c r="B30" s="38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50HG7nCjEjugehpFskLicIMoQYEVj02jv2UugGJrSPlXvDg4LD3clQ5PIWUm+HgrgA/4+dPLE7a00RhtvgpWyg==" saltValue="n1B6dxM2daTCKAmU4LrWHw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7" t="s">
        <v>194</v>
      </c>
      <c r="C3" s="87"/>
      <c r="D3" s="87"/>
      <c r="E3" s="1"/>
    </row>
    <row r="4" spans="1:5" ht="15" customHeight="1" x14ac:dyDescent="0.25">
      <c r="A4" s="1"/>
      <c r="B4" s="87"/>
      <c r="C4" s="87"/>
      <c r="D4" s="87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260</v>
      </c>
      <c r="C9" s="7">
        <f>'Fane 3. Omkostninger i ØR2021'!E20</f>
        <v>111911971.59978952</v>
      </c>
      <c r="D9" s="8" t="s">
        <v>3</v>
      </c>
      <c r="E9" s="1"/>
    </row>
    <row r="10" spans="1:5" ht="17.100000000000001" customHeight="1" x14ac:dyDescent="0.25">
      <c r="A10" s="1"/>
      <c r="B10" s="53" t="s">
        <v>43</v>
      </c>
      <c r="C10" s="7">
        <f>'Fane 10.1. Varige tillæg'!C14</f>
        <v>209254.26780000003</v>
      </c>
      <c r="D10" s="8" t="s">
        <v>3</v>
      </c>
      <c r="E10" s="1"/>
    </row>
    <row r="11" spans="1:5" ht="17.100000000000001" customHeight="1" x14ac:dyDescent="0.25">
      <c r="A11" s="1"/>
      <c r="B11" s="53" t="s">
        <v>44</v>
      </c>
      <c r="C11" s="9">
        <f>'Fane 10.1. Varige tillæg'!E14</f>
        <v>1548036.6159961834</v>
      </c>
      <c r="D11" s="8" t="s">
        <v>3</v>
      </c>
      <c r="E11" s="1"/>
    </row>
    <row r="12" spans="1:5" ht="17.100000000000001" customHeight="1" x14ac:dyDescent="0.25">
      <c r="A12" s="1"/>
      <c r="B12" s="53" t="s">
        <v>29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53" t="s">
        <v>28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53" t="s">
        <v>149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53" t="s">
        <v>150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53" t="s">
        <v>20</v>
      </c>
      <c r="C16" s="9">
        <f>SUM(C9:C15)*'Fane 14. Nøgletal'!C14</f>
        <v>375108.5661958328</v>
      </c>
      <c r="D16" s="8" t="s">
        <v>3</v>
      </c>
      <c r="E16" s="1"/>
    </row>
    <row r="17" spans="1:5" ht="17.100000000000001" customHeight="1" x14ac:dyDescent="0.25">
      <c r="A17" s="1"/>
      <c r="B17" s="53" t="s">
        <v>10</v>
      </c>
      <c r="C17" s="9">
        <f>-SUM(C9:C16)*'Fane 5. Individuelt eff. krav'!G12</f>
        <v>-2280887.4209956308</v>
      </c>
      <c r="D17" s="8" t="s">
        <v>3</v>
      </c>
      <c r="E17" s="1"/>
    </row>
    <row r="18" spans="1:5" ht="17.100000000000001" customHeight="1" x14ac:dyDescent="0.25">
      <c r="A18" s="1"/>
      <c r="B18" s="53" t="s">
        <v>26</v>
      </c>
      <c r="C18" s="9">
        <f>-'Fane 4.1. Gen. krav - drift'!G39</f>
        <v>-774477.89812179818</v>
      </c>
      <c r="D18" s="8" t="s">
        <v>3</v>
      </c>
      <c r="E18" s="1"/>
    </row>
    <row r="19" spans="1:5" ht="17.100000000000001" customHeight="1" x14ac:dyDescent="0.25">
      <c r="A19" s="1"/>
      <c r="B19" s="53" t="s">
        <v>27</v>
      </c>
      <c r="C19" s="9">
        <f>-'Fane 4.2. Gen. krav - anlæg'!G37</f>
        <v>-1164882.0531335014</v>
      </c>
      <c r="D19" s="8" t="s">
        <v>3</v>
      </c>
      <c r="E19" s="1"/>
    </row>
    <row r="20" spans="1:5" ht="17.100000000000001" customHeight="1" x14ac:dyDescent="0.25">
      <c r="A20" s="1"/>
      <c r="B20" s="59" t="s">
        <v>22</v>
      </c>
      <c r="C20" s="10">
        <f>SUM(C9:C19)</f>
        <v>109824123.67753059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omk.'!C17+'Fane 6. Ikke-påvirkelige omk.'!C21+'Fane 6. Ikke-påvirkelige omk.'!C29</f>
        <v>5960487.850322851</v>
      </c>
      <c r="D22" s="11" t="s">
        <v>3</v>
      </c>
      <c r="E22" s="1"/>
    </row>
    <row r="23" spans="1:5" ht="15" customHeight="1" x14ac:dyDescent="0.25">
      <c r="A23" s="1"/>
      <c r="B23" s="38" t="s">
        <v>94</v>
      </c>
      <c r="C23" s="32"/>
      <c r="D23" s="20"/>
      <c r="E23" s="1"/>
    </row>
    <row r="24" spans="1:5" ht="15" customHeight="1" x14ac:dyDescent="0.25">
      <c r="A24" s="1"/>
      <c r="B24" s="59" t="s">
        <v>94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38" t="s">
        <v>93</v>
      </c>
      <c r="C25" s="32"/>
      <c r="D25" s="20"/>
      <c r="E25" s="1"/>
    </row>
    <row r="26" spans="1:5" ht="15" customHeight="1" x14ac:dyDescent="0.25">
      <c r="A26" s="1"/>
      <c r="B26" s="53" t="s">
        <v>89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53" t="s">
        <v>90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59" t="s">
        <v>95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8" t="s">
        <v>187</v>
      </c>
      <c r="C29" s="32"/>
      <c r="D29" s="20"/>
      <c r="E29" s="1"/>
    </row>
    <row r="30" spans="1:5" x14ac:dyDescent="0.25">
      <c r="A30" s="1"/>
      <c r="B30" s="36" t="s">
        <v>297</v>
      </c>
      <c r="C30" s="10">
        <f>'Fane 7. Kontrol af ØR2020'!E34</f>
        <v>0</v>
      </c>
      <c r="D30" s="11" t="s">
        <v>3</v>
      </c>
      <c r="E30" s="1"/>
    </row>
    <row r="31" spans="1:5" ht="15" customHeight="1" x14ac:dyDescent="0.25">
      <c r="A31" s="1"/>
      <c r="B31" s="38" t="s">
        <v>195</v>
      </c>
      <c r="C31" s="32"/>
      <c r="D31" s="20"/>
      <c r="E31" s="1"/>
    </row>
    <row r="32" spans="1:5" x14ac:dyDescent="0.25">
      <c r="A32" s="1"/>
      <c r="B32" s="36" t="s">
        <v>195</v>
      </c>
      <c r="C32" s="10">
        <f>'Fane 8. Korrektion af ØR2020'!E17</f>
        <v>-1527361</v>
      </c>
      <c r="D32" s="11" t="s">
        <v>3</v>
      </c>
      <c r="E32" s="1"/>
    </row>
    <row r="33" spans="1:5" x14ac:dyDescent="0.25">
      <c r="A33" s="1"/>
      <c r="B33" s="35" t="s">
        <v>258</v>
      </c>
      <c r="C33" s="32"/>
      <c r="D33" s="20"/>
      <c r="E33" s="1"/>
    </row>
    <row r="34" spans="1:5" x14ac:dyDescent="0.25">
      <c r="A34" s="1"/>
      <c r="B34" s="66" t="s">
        <v>259</v>
      </c>
      <c r="C34" s="10">
        <v>0</v>
      </c>
      <c r="D34" s="11" t="s">
        <v>3</v>
      </c>
      <c r="E34" s="1"/>
    </row>
    <row r="35" spans="1:5" x14ac:dyDescent="0.25">
      <c r="A35" s="1"/>
      <c r="B35" s="38" t="s">
        <v>32</v>
      </c>
      <c r="C35" s="34">
        <f>SUM(C32,C30,C28,C24,C22,C20)</f>
        <v>114257250.52785344</v>
      </c>
      <c r="D35" s="35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UcJk53uBjr2qBKgyNgFwg/ei+69DmwNtPYqt9v4HSFRj238HvuqtihzUBya8CfG5dmFcT6tKhLKsLv8azqyVNQ==" saltValue="DmrrsILQcMTDkL9ZeXnKw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7" t="s">
        <v>196</v>
      </c>
      <c r="C3" s="87"/>
      <c r="D3" s="87"/>
      <c r="E3" s="1"/>
    </row>
    <row r="4" spans="1:5" ht="15" customHeight="1" x14ac:dyDescent="0.25">
      <c r="A4" s="1"/>
      <c r="B4" s="87"/>
      <c r="C4" s="87"/>
      <c r="D4" s="87"/>
      <c r="E4" s="1"/>
    </row>
    <row r="5" spans="1:5" x14ac:dyDescent="0.25">
      <c r="A5" s="1"/>
      <c r="B5" s="88"/>
      <c r="C5" s="88"/>
      <c r="D5" s="88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151</v>
      </c>
      <c r="C9" s="7">
        <f>'Fane 2.1. Økonomisk ramme 2022'!C20</f>
        <v>109824123.67753059</v>
      </c>
      <c r="D9" s="8" t="s">
        <v>3</v>
      </c>
      <c r="E9" s="1"/>
    </row>
    <row r="10" spans="1:5" ht="15" customHeight="1" x14ac:dyDescent="0.25">
      <c r="A10" s="1"/>
      <c r="B10" s="53" t="s">
        <v>29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53" t="s">
        <v>28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362419.60813585093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-2203730.8657133286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drift'!G46</f>
        <v>-761493.00168188824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anlæg'!G44</f>
        <v>-1151429.0166829911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106069890.40158822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omk.'!C17*(1+'Fane 14. Nøgletal'!C14)+'Fane 6. Ikke-påvirkelige omk.'!C22+'Fane 6. Ikke-påvirkelige omk.'!C30</f>
        <v>5974617.4103289163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9" t="s">
        <v>94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3" t="s">
        <v>89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53" t="s">
        <v>90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59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187</v>
      </c>
      <c r="C25" s="32"/>
      <c r="D25" s="20"/>
      <c r="E25" s="1"/>
    </row>
    <row r="26" spans="1:5" ht="15" customHeight="1" x14ac:dyDescent="0.25">
      <c r="A26" s="1"/>
      <c r="B26" s="36" t="s">
        <v>297</v>
      </c>
      <c r="C26" s="10">
        <f>'Fane 7. Kontrol af ØR2020'!E34</f>
        <v>0</v>
      </c>
      <c r="D26" s="11" t="s">
        <v>3</v>
      </c>
      <c r="E26" s="1"/>
    </row>
    <row r="27" spans="1:5" x14ac:dyDescent="0.25">
      <c r="A27" s="1"/>
      <c r="B27" s="35" t="s">
        <v>258</v>
      </c>
      <c r="C27" s="32"/>
      <c r="D27" s="20"/>
      <c r="E27" s="1"/>
    </row>
    <row r="28" spans="1:5" x14ac:dyDescent="0.25">
      <c r="A28" s="1"/>
      <c r="B28" s="66" t="s">
        <v>259</v>
      </c>
      <c r="C28" s="10">
        <v>0</v>
      </c>
      <c r="D28" s="11" t="s">
        <v>3</v>
      </c>
      <c r="E28" s="1"/>
    </row>
    <row r="29" spans="1:5" x14ac:dyDescent="0.25">
      <c r="A29" s="1"/>
      <c r="B29" s="38" t="s">
        <v>102</v>
      </c>
      <c r="C29" s="12">
        <f>SUM(C16,C18,C20,C24,C26,C28)</f>
        <v>112044507.81191713</v>
      </c>
      <c r="D29" s="13" t="s">
        <v>3</v>
      </c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5DHSjFpOsi6MYXY1Un+o6CXn9mQpJG/EAHZGQqN7zcfRKmjmn7XMzfu+fv3tMo/zjeire1o5ND0s97RLxe9GyQ==" saltValue="mLkaCtHEoHe21lHfoIxlK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7" t="s">
        <v>197</v>
      </c>
      <c r="C3" s="87"/>
      <c r="D3" s="87"/>
      <c r="E3" s="1"/>
    </row>
    <row r="4" spans="1:5" ht="15" customHeight="1" x14ac:dyDescent="0.25">
      <c r="A4" s="1"/>
      <c r="B4" s="87"/>
      <c r="C4" s="87"/>
      <c r="D4" s="87"/>
      <c r="E4" s="1"/>
    </row>
    <row r="5" spans="1:5" x14ac:dyDescent="0.25">
      <c r="A5" s="1"/>
      <c r="B5" s="88" t="s">
        <v>23</v>
      </c>
      <c r="C5" s="88"/>
      <c r="D5" s="88"/>
      <c r="E5" s="1"/>
    </row>
    <row r="6" spans="1:5" x14ac:dyDescent="0.25">
      <c r="A6" s="1"/>
      <c r="B6" s="52"/>
      <c r="C6" s="52"/>
      <c r="D6" s="52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152</v>
      </c>
      <c r="C9" s="7">
        <f>'Fane 2.2. Økonomisk ramme 2023'!C16</f>
        <v>106069890.40158822</v>
      </c>
      <c r="D9" s="8" t="s">
        <v>3</v>
      </c>
      <c r="E9" s="1"/>
    </row>
    <row r="10" spans="1:5" ht="15" customHeight="1" x14ac:dyDescent="0.25">
      <c r="A10" s="1"/>
      <c r="B10" s="33" t="s">
        <v>29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28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350030.6383252411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-2128398.4207982691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drift'!G54</f>
        <v>-748725.81001568993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anlæg'!G55</f>
        <v>-1138131.3471979618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102404665.46190153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omk.'!C17*(1+'Fane 14. Nøgletal'!C14)^2+'Fane 6. Ikke-påvirkelige omk.'!C23+'Fane 6. Ikke-påvirkelige omk.'!C31</f>
        <v>5988793.5978830028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9" t="s">
        <v>94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3" t="s">
        <v>89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53" t="s">
        <v>90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59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5" t="s">
        <v>258</v>
      </c>
      <c r="C25" s="32"/>
      <c r="D25" s="20"/>
      <c r="E25" s="1"/>
    </row>
    <row r="26" spans="1:5" x14ac:dyDescent="0.25">
      <c r="A26" s="1"/>
      <c r="B26" s="66" t="s">
        <v>259</v>
      </c>
      <c r="C26" s="10">
        <v>0</v>
      </c>
      <c r="D26" s="11" t="s">
        <v>3</v>
      </c>
      <c r="E26" s="1"/>
    </row>
    <row r="27" spans="1:5" x14ac:dyDescent="0.25">
      <c r="A27" s="1"/>
      <c r="B27" s="38" t="s">
        <v>153</v>
      </c>
      <c r="C27" s="12">
        <f>SUM(C16,C18,C20,C24,C26)</f>
        <v>108393459.05978453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gMkOTWnbMjuIdFAjKzIEjtOOz2aYThFQVtivR2TBXLFY99v9L0xPeA1+IZS1Szap+BsovEAJI1lOGQrsq46nQw==" saltValue="UzVizfVRf2Xjae9Plgc0M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7" t="s">
        <v>198</v>
      </c>
      <c r="C3" s="87"/>
      <c r="D3" s="87"/>
      <c r="E3" s="1"/>
    </row>
    <row r="4" spans="1:5" ht="15" customHeight="1" x14ac:dyDescent="0.25">
      <c r="A4" s="1"/>
      <c r="B4" s="87"/>
      <c r="C4" s="87"/>
      <c r="D4" s="87"/>
      <c r="E4" s="1"/>
    </row>
    <row r="5" spans="1:5" x14ac:dyDescent="0.25">
      <c r="A5" s="1"/>
      <c r="B5" s="88" t="s">
        <v>23</v>
      </c>
      <c r="C5" s="88"/>
      <c r="D5" s="88"/>
      <c r="E5" s="1"/>
    </row>
    <row r="6" spans="1:5" x14ac:dyDescent="0.25">
      <c r="A6" s="1"/>
      <c r="B6" s="52"/>
      <c r="C6" s="52"/>
      <c r="D6" s="52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199</v>
      </c>
      <c r="C9" s="7">
        <f>'Fane 2.3. Økonomisk ramme 2024'!C16</f>
        <v>102404665.46190153</v>
      </c>
      <c r="D9" s="8" t="s">
        <v>3</v>
      </c>
      <c r="E9" s="1"/>
    </row>
    <row r="10" spans="1:5" ht="15" customHeight="1" x14ac:dyDescent="0.25">
      <c r="A10" s="1"/>
      <c r="B10" s="33" t="s">
        <v>29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28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337935.39602427505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-2054852.017158516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drift'!G60</f>
        <v>-736172.67308496684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anlæg'!G61</f>
        <v>-1124987.2503701882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98826588.91731213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omk.'!C17*(1+'Fane 14. Nøgletal'!C14)^3+'Fane 6. Ikke-påvirkelige omk.'!C24+'Fane 6. Ikke-påvirkelige omk.'!C32</f>
        <v>6003016.5668560164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9" t="s">
        <v>94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3" t="s">
        <v>89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53" t="s">
        <v>90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59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5" t="s">
        <v>258</v>
      </c>
      <c r="C25" s="32"/>
      <c r="D25" s="20"/>
      <c r="E25" s="1"/>
    </row>
    <row r="26" spans="1:5" x14ac:dyDescent="0.25">
      <c r="A26" s="1"/>
      <c r="B26" s="66" t="s">
        <v>259</v>
      </c>
      <c r="C26" s="10">
        <v>0</v>
      </c>
      <c r="D26" s="11" t="s">
        <v>3</v>
      </c>
      <c r="E26" s="1"/>
    </row>
    <row r="27" spans="1:5" x14ac:dyDescent="0.25">
      <c r="A27" s="1"/>
      <c r="B27" s="38" t="s">
        <v>200</v>
      </c>
      <c r="C27" s="12">
        <f>SUM(C16,C18,C20,C24,C26)</f>
        <v>104829605.48416814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8eARWoz/iklYmq7GRt26MbZNOeCX1DBPBFbVWUY/RK+24yT90UI2a3yagznz208VBp6Ba3SyMTOnxy17m7SiDQ==" saltValue="SByZP38H5knJd+94tRRw0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250</v>
      </c>
      <c r="C3" s="92"/>
      <c r="D3" s="92"/>
      <c r="E3" s="92"/>
      <c r="F3" s="92"/>
      <c r="G3" s="1"/>
    </row>
    <row r="4" spans="1:7" ht="29.2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289</v>
      </c>
      <c r="C8" s="32"/>
      <c r="D8" s="32"/>
      <c r="E8" s="32"/>
      <c r="F8" s="20"/>
      <c r="G8" s="1"/>
    </row>
    <row r="9" spans="1:7" ht="15" customHeight="1" x14ac:dyDescent="0.25">
      <c r="A9" s="1"/>
      <c r="B9" s="89" t="s">
        <v>25</v>
      </c>
      <c r="C9" s="90"/>
      <c r="D9" s="91"/>
      <c r="E9" s="7">
        <v>94178180.348490715</v>
      </c>
      <c r="F9" s="8" t="s">
        <v>3</v>
      </c>
      <c r="G9" s="1"/>
    </row>
    <row r="10" spans="1:7" ht="15" customHeight="1" x14ac:dyDescent="0.25">
      <c r="A10" s="1"/>
      <c r="B10" s="93" t="s">
        <v>43</v>
      </c>
      <c r="C10" s="94"/>
      <c r="D10" s="95"/>
      <c r="E10" s="7">
        <v>730715.27760000003</v>
      </c>
      <c r="F10" s="8" t="s">
        <v>3</v>
      </c>
      <c r="G10" s="1"/>
    </row>
    <row r="11" spans="1:7" ht="15" customHeight="1" x14ac:dyDescent="0.25">
      <c r="A11" s="1"/>
      <c r="B11" s="93" t="s">
        <v>44</v>
      </c>
      <c r="C11" s="94"/>
      <c r="D11" s="95"/>
      <c r="E11" s="9">
        <v>18711966.470399998</v>
      </c>
      <c r="F11" s="8" t="s">
        <v>3</v>
      </c>
      <c r="G11" s="1"/>
    </row>
    <row r="12" spans="1:7" ht="15" customHeight="1" x14ac:dyDescent="0.25">
      <c r="A12" s="1"/>
      <c r="B12" s="93" t="s">
        <v>29</v>
      </c>
      <c r="C12" s="94"/>
      <c r="D12" s="95"/>
      <c r="E12" s="9">
        <v>0</v>
      </c>
      <c r="F12" s="8" t="s">
        <v>3</v>
      </c>
      <c r="G12" s="1"/>
    </row>
    <row r="13" spans="1:7" ht="15" customHeight="1" x14ac:dyDescent="0.25">
      <c r="A13" s="1"/>
      <c r="B13" s="89" t="s">
        <v>28</v>
      </c>
      <c r="C13" s="90"/>
      <c r="D13" s="91"/>
      <c r="E13" s="9">
        <v>0</v>
      </c>
      <c r="F13" s="8" t="s">
        <v>3</v>
      </c>
      <c r="G13" s="1"/>
    </row>
    <row r="14" spans="1:7" ht="15" customHeight="1" x14ac:dyDescent="0.25">
      <c r="A14" s="1"/>
      <c r="B14" s="89" t="s">
        <v>31</v>
      </c>
      <c r="C14" s="90"/>
      <c r="D14" s="91"/>
      <c r="E14" s="9">
        <v>0</v>
      </c>
      <c r="F14" s="8" t="s">
        <v>3</v>
      </c>
      <c r="G14" s="1"/>
    </row>
    <row r="15" spans="1:7" ht="15" customHeight="1" x14ac:dyDescent="0.25">
      <c r="A15" s="1"/>
      <c r="B15" s="89" t="s">
        <v>30</v>
      </c>
      <c r="C15" s="90"/>
      <c r="D15" s="91"/>
      <c r="E15" s="9">
        <v>0</v>
      </c>
      <c r="F15" s="8" t="s">
        <v>3</v>
      </c>
      <c r="G15" s="1"/>
    </row>
    <row r="16" spans="1:7" ht="15" customHeight="1" x14ac:dyDescent="0.25">
      <c r="A16" s="1"/>
      <c r="B16" s="89" t="s">
        <v>20</v>
      </c>
      <c r="C16" s="90"/>
      <c r="D16" s="91"/>
      <c r="E16" s="9">
        <v>2092510.870190867</v>
      </c>
      <c r="F16" s="8" t="s">
        <v>3</v>
      </c>
      <c r="G16" s="1"/>
    </row>
    <row r="17" spans="1:7" ht="15" customHeight="1" x14ac:dyDescent="0.25">
      <c r="A17" s="1"/>
      <c r="B17" s="89" t="s">
        <v>10</v>
      </c>
      <c r="C17" s="90"/>
      <c r="D17" s="91"/>
      <c r="E17" s="9">
        <v>-787695.89614501991</v>
      </c>
      <c r="F17" s="8" t="s">
        <v>3</v>
      </c>
      <c r="G17" s="1"/>
    </row>
    <row r="18" spans="1:7" ht="15" customHeight="1" x14ac:dyDescent="0.25">
      <c r="A18" s="1"/>
      <c r="B18" s="89" t="s">
        <v>26</v>
      </c>
      <c r="C18" s="90"/>
      <c r="D18" s="91"/>
      <c r="E18" s="9">
        <f>-'Fane 4.1. Gen. krav - drift'!G33</f>
        <v>-783413.71635248931</v>
      </c>
      <c r="F18" s="8" t="s">
        <v>3</v>
      </c>
      <c r="G18" s="1"/>
    </row>
    <row r="19" spans="1:7" ht="15" customHeight="1" x14ac:dyDescent="0.25">
      <c r="A19" s="1"/>
      <c r="B19" s="89" t="s">
        <v>27</v>
      </c>
      <c r="C19" s="90"/>
      <c r="D19" s="91"/>
      <c r="E19" s="9">
        <f>-'Fane 4.2. Gen. krav - anlæg'!G31</f>
        <v>-2230291.7543945564</v>
      </c>
      <c r="F19" s="8" t="s">
        <v>3</v>
      </c>
      <c r="G19" s="1"/>
    </row>
    <row r="20" spans="1:7" ht="15" customHeight="1" x14ac:dyDescent="0.25">
      <c r="A20" s="1"/>
      <c r="B20" s="59" t="s">
        <v>22</v>
      </c>
      <c r="C20" s="60"/>
      <c r="D20" s="67"/>
      <c r="E20" s="10">
        <f>SUM(E9:E19)</f>
        <v>111911971.59978952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96" t="s">
        <v>13</v>
      </c>
      <c r="C22" s="97"/>
      <c r="D22" s="98"/>
      <c r="E22" s="10">
        <v>8280463.9841120401</v>
      </c>
      <c r="F22" s="11" t="s">
        <v>3</v>
      </c>
      <c r="G22" s="1"/>
    </row>
    <row r="23" spans="1:7" ht="15" customHeight="1" x14ac:dyDescent="0.25">
      <c r="A23" s="1"/>
      <c r="B23" s="99" t="s">
        <v>94</v>
      </c>
      <c r="C23" s="100"/>
      <c r="D23" s="101"/>
      <c r="E23" s="32"/>
      <c r="F23" s="32"/>
      <c r="G23" s="1"/>
    </row>
    <row r="24" spans="1:7" ht="15" customHeight="1" x14ac:dyDescent="0.25">
      <c r="A24" s="1"/>
      <c r="B24" s="59" t="s">
        <v>94</v>
      </c>
      <c r="C24" s="43"/>
      <c r="D24" s="44"/>
      <c r="E24" s="10">
        <v>0</v>
      </c>
      <c r="F24" s="11" t="s">
        <v>3</v>
      </c>
      <c r="G24" s="1"/>
    </row>
    <row r="25" spans="1:7" x14ac:dyDescent="0.25">
      <c r="A25" s="1"/>
      <c r="B25" s="38" t="s">
        <v>93</v>
      </c>
      <c r="C25" s="32"/>
      <c r="D25" s="32"/>
      <c r="E25" s="32"/>
      <c r="F25" s="20"/>
      <c r="G25" s="1"/>
    </row>
    <row r="26" spans="1:7" ht="15" customHeight="1" x14ac:dyDescent="0.25">
      <c r="A26" s="1"/>
      <c r="B26" s="93" t="s">
        <v>89</v>
      </c>
      <c r="C26" s="94"/>
      <c r="D26" s="95"/>
      <c r="E26" s="9">
        <v>0</v>
      </c>
      <c r="F26" s="8" t="s">
        <v>3</v>
      </c>
      <c r="G26" s="1"/>
    </row>
    <row r="27" spans="1:7" ht="15" customHeight="1" x14ac:dyDescent="0.25">
      <c r="A27" s="1"/>
      <c r="B27" s="93" t="s">
        <v>90</v>
      </c>
      <c r="C27" s="94"/>
      <c r="D27" s="94"/>
      <c r="E27" s="9">
        <v>0</v>
      </c>
      <c r="F27" s="8" t="s">
        <v>3</v>
      </c>
      <c r="G27" s="1"/>
    </row>
    <row r="28" spans="1:7" ht="15" customHeight="1" x14ac:dyDescent="0.25">
      <c r="A28" s="1"/>
      <c r="B28" s="102" t="s">
        <v>95</v>
      </c>
      <c r="C28" s="103"/>
      <c r="D28" s="103"/>
      <c r="E28" s="45">
        <v>0</v>
      </c>
      <c r="F28" s="11" t="s">
        <v>3</v>
      </c>
      <c r="G28" s="1"/>
    </row>
    <row r="29" spans="1:7" ht="15" customHeight="1" x14ac:dyDescent="0.25">
      <c r="A29" s="1"/>
      <c r="B29" s="38" t="s">
        <v>187</v>
      </c>
      <c r="C29" s="38"/>
      <c r="D29" s="38"/>
      <c r="E29" s="32"/>
      <c r="F29" s="32"/>
      <c r="G29" s="1"/>
    </row>
    <row r="30" spans="1:7" ht="15" customHeight="1" x14ac:dyDescent="0.25">
      <c r="A30" s="1"/>
      <c r="B30" s="96" t="s">
        <v>185</v>
      </c>
      <c r="C30" s="97"/>
      <c r="D30" s="97"/>
      <c r="E30" s="45">
        <v>-1421014.5282987282</v>
      </c>
      <c r="F30" s="11" t="s">
        <v>3</v>
      </c>
      <c r="G30" s="1"/>
    </row>
    <row r="31" spans="1:7" x14ac:dyDescent="0.25">
      <c r="A31" s="1"/>
      <c r="B31" s="38" t="s">
        <v>148</v>
      </c>
      <c r="C31" s="32"/>
      <c r="D31" s="32"/>
      <c r="E31" s="32"/>
      <c r="F31" s="32"/>
      <c r="G31" s="1"/>
    </row>
    <row r="32" spans="1:7" ht="15.6" customHeight="1" x14ac:dyDescent="0.25">
      <c r="A32" s="1"/>
      <c r="B32" s="96" t="s">
        <v>148</v>
      </c>
      <c r="C32" s="97"/>
      <c r="D32" s="98"/>
      <c r="E32" s="10">
        <v>-1530933</v>
      </c>
      <c r="F32" s="11" t="s">
        <v>3</v>
      </c>
      <c r="G32" s="1"/>
    </row>
    <row r="33" spans="1:7" x14ac:dyDescent="0.25">
      <c r="A33" s="1"/>
      <c r="B33" s="38" t="s">
        <v>251</v>
      </c>
      <c r="C33" s="32"/>
      <c r="D33" s="20"/>
      <c r="E33" s="12">
        <f>SUM(E32,E30,E28,E24,E22,E20)</f>
        <v>117240488.05560283</v>
      </c>
      <c r="F33" s="13" t="s">
        <v>3</v>
      </c>
      <c r="G33" s="1"/>
    </row>
    <row r="34" spans="1:7" ht="27" customHeight="1" x14ac:dyDescent="0.25">
      <c r="A34" s="1"/>
      <c r="B34" s="89" t="s">
        <v>252</v>
      </c>
      <c r="C34" s="90"/>
      <c r="D34" s="90"/>
      <c r="E34" s="90"/>
      <c r="F34" s="9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yU1Sh3q0Xq5Nsax3aA0why4PlQ+NyUxoatYkUD7Xi6fKW84cZTVUErOS+aGB9be19uyRUKkiD+oNXmJd0jNKrQ==" saltValue="OqE/QYovxCBlLCia0Xxm9g==" spinCount="100000" sheet="1" objects="1" scenarios="1"/>
  <mergeCells count="20">
    <mergeCell ref="B26:D26"/>
    <mergeCell ref="B32:D32"/>
    <mergeCell ref="B22:D22"/>
    <mergeCell ref="B23:D23"/>
    <mergeCell ref="B34:F34"/>
    <mergeCell ref="B27:D27"/>
    <mergeCell ref="B28:D28"/>
    <mergeCell ref="B30:D30"/>
    <mergeCell ref="B3:F4"/>
    <mergeCell ref="B9:D9"/>
    <mergeCell ref="B10:D10"/>
    <mergeCell ref="B11:D11"/>
    <mergeCell ref="B12:D12"/>
    <mergeCell ref="B18:D18"/>
    <mergeCell ref="B19:D19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63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85546875" style="2" bestFit="1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2"/>
      <c r="C1" s="42"/>
      <c r="D1" s="42"/>
      <c r="E1" s="42"/>
      <c r="F1" s="42"/>
      <c r="G1" s="42"/>
      <c r="H1" s="42"/>
      <c r="I1" s="1"/>
    </row>
    <row r="2" spans="1:9" ht="15" customHeight="1" x14ac:dyDescent="0.25">
      <c r="A2" s="1"/>
      <c r="B2" s="92" t="s">
        <v>130</v>
      </c>
      <c r="C2" s="92"/>
      <c r="D2" s="92"/>
      <c r="E2" s="92"/>
      <c r="F2" s="92"/>
      <c r="G2" s="92"/>
      <c r="H2" s="92"/>
      <c r="I2" s="1"/>
    </row>
    <row r="3" spans="1:9" ht="28.5" customHeight="1" x14ac:dyDescent="0.25">
      <c r="A3" s="1"/>
      <c r="B3" s="92"/>
      <c r="C3" s="92"/>
      <c r="D3" s="92"/>
      <c r="E3" s="92"/>
      <c r="F3" s="92"/>
      <c r="G3" s="92"/>
      <c r="H3" s="92"/>
      <c r="I3" s="1"/>
    </row>
    <row r="4" spans="1:9" x14ac:dyDescent="0.25">
      <c r="A4" s="1"/>
      <c r="B4" s="99" t="s">
        <v>56</v>
      </c>
      <c r="C4" s="100"/>
      <c r="D4" s="100"/>
      <c r="E4" s="100"/>
      <c r="F4" s="100"/>
      <c r="G4" s="100"/>
      <c r="H4" s="101"/>
      <c r="I4" s="1"/>
    </row>
    <row r="5" spans="1:9" x14ac:dyDescent="0.25">
      <c r="A5" s="1"/>
      <c r="B5" s="104" t="s">
        <v>45</v>
      </c>
      <c r="C5" s="105"/>
      <c r="D5" s="105"/>
      <c r="E5" s="105"/>
      <c r="F5" s="106"/>
      <c r="G5" s="24">
        <v>37929744.954657242</v>
      </c>
      <c r="H5" s="14" t="s">
        <v>3</v>
      </c>
      <c r="I5" s="1"/>
    </row>
    <row r="6" spans="1:9" x14ac:dyDescent="0.25">
      <c r="A6" s="1"/>
      <c r="B6" s="89" t="s">
        <v>145</v>
      </c>
      <c r="C6" s="90"/>
      <c r="D6" s="90"/>
      <c r="E6" s="90"/>
      <c r="F6" s="91"/>
      <c r="G6" s="51">
        <v>0</v>
      </c>
      <c r="H6" s="14" t="s">
        <v>3</v>
      </c>
      <c r="I6" s="1"/>
    </row>
    <row r="7" spans="1:9" x14ac:dyDescent="0.25">
      <c r="A7" s="1"/>
      <c r="B7" s="104" t="s">
        <v>46</v>
      </c>
      <c r="C7" s="105"/>
      <c r="D7" s="105"/>
      <c r="E7" s="105"/>
      <c r="F7" s="106"/>
      <c r="G7" s="24">
        <f>SUM(G5:G6)*'Fane 14. Nøgletal'!C29</f>
        <v>758594.89909314481</v>
      </c>
      <c r="H7" s="14" t="s">
        <v>3</v>
      </c>
      <c r="I7" s="1"/>
    </row>
    <row r="8" spans="1:9" x14ac:dyDescent="0.25">
      <c r="A8" s="1"/>
      <c r="B8" s="38"/>
      <c r="C8" s="32"/>
      <c r="D8" s="32"/>
      <c r="E8" s="32"/>
      <c r="F8" s="32"/>
      <c r="G8" s="32"/>
      <c r="H8" s="20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9" t="s">
        <v>57</v>
      </c>
      <c r="C10" s="100"/>
      <c r="D10" s="100"/>
      <c r="E10" s="100"/>
      <c r="F10" s="100"/>
      <c r="G10" s="100"/>
      <c r="H10" s="101"/>
      <c r="I10" s="1"/>
    </row>
    <row r="11" spans="1:9" x14ac:dyDescent="0.25">
      <c r="A11" s="1"/>
      <c r="B11" s="104" t="s">
        <v>47</v>
      </c>
      <c r="C11" s="105"/>
      <c r="D11" s="105"/>
      <c r="E11" s="105"/>
      <c r="F11" s="106"/>
      <c r="G11" s="24">
        <f>(G5-G7)*(1+'Fane 14. Nøgletal'!C10)</f>
        <v>37821645.181536473</v>
      </c>
      <c r="H11" s="14" t="s">
        <v>3</v>
      </c>
      <c r="I11" s="1"/>
    </row>
    <row r="12" spans="1:9" ht="15" customHeight="1" x14ac:dyDescent="0.25">
      <c r="A12" s="1"/>
      <c r="B12" s="104" t="s">
        <v>146</v>
      </c>
      <c r="C12" s="105"/>
      <c r="D12" s="105"/>
      <c r="E12" s="105"/>
      <c r="F12" s="106"/>
      <c r="G12" s="24">
        <v>-69016.65188274892</v>
      </c>
      <c r="H12" s="14" t="s">
        <v>3</v>
      </c>
      <c r="I12" s="1"/>
    </row>
    <row r="13" spans="1:9" x14ac:dyDescent="0.25">
      <c r="A13" s="1"/>
      <c r="B13" s="89" t="s">
        <v>143</v>
      </c>
      <c r="C13" s="90"/>
      <c r="D13" s="90"/>
      <c r="E13" s="90"/>
      <c r="F13" s="91"/>
      <c r="G13" s="51">
        <v>0</v>
      </c>
      <c r="H13" s="14" t="s">
        <v>3</v>
      </c>
      <c r="I13" s="1"/>
    </row>
    <row r="14" spans="1:9" x14ac:dyDescent="0.25">
      <c r="A14" s="1"/>
      <c r="B14" s="110" t="s">
        <v>48</v>
      </c>
      <c r="C14" s="111"/>
      <c r="D14" s="111"/>
      <c r="E14" s="111"/>
      <c r="F14" s="112"/>
      <c r="G14" s="51">
        <v>0</v>
      </c>
      <c r="H14" s="14" t="s">
        <v>3</v>
      </c>
      <c r="I14" s="1"/>
    </row>
    <row r="15" spans="1:9" x14ac:dyDescent="0.25">
      <c r="A15" s="1"/>
      <c r="B15" s="104" t="s">
        <v>49</v>
      </c>
      <c r="C15" s="105"/>
      <c r="D15" s="105"/>
      <c r="E15" s="105"/>
      <c r="F15" s="106"/>
      <c r="G15" s="24">
        <f>SUM(G11:G14)*'Fane 14. Nøgletal'!C29</f>
        <v>755052.57059307455</v>
      </c>
      <c r="H15" s="14" t="s">
        <v>3</v>
      </c>
      <c r="I15" s="1"/>
    </row>
    <row r="16" spans="1:9" x14ac:dyDescent="0.25">
      <c r="A16" s="1"/>
      <c r="B16" s="38"/>
      <c r="C16" s="32"/>
      <c r="D16" s="32"/>
      <c r="E16" s="32"/>
      <c r="F16" s="32"/>
      <c r="G16" s="32"/>
      <c r="H16" s="20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99" t="s">
        <v>58</v>
      </c>
      <c r="C18" s="100"/>
      <c r="D18" s="100"/>
      <c r="E18" s="100"/>
      <c r="F18" s="100"/>
      <c r="G18" s="100"/>
      <c r="H18" s="101"/>
      <c r="I18" s="1"/>
    </row>
    <row r="19" spans="1:9" x14ac:dyDescent="0.25">
      <c r="A19" s="1"/>
      <c r="B19" s="104" t="s">
        <v>50</v>
      </c>
      <c r="C19" s="105"/>
      <c r="D19" s="105"/>
      <c r="E19" s="105"/>
      <c r="F19" s="106"/>
      <c r="G19" s="24">
        <f>(SUM(G11:G12,G14)-(G15))*(1+'Fane 14. Nøgletal'!C10)</f>
        <v>37645033.538344219</v>
      </c>
      <c r="H19" s="14" t="s">
        <v>3</v>
      </c>
      <c r="I19" s="1"/>
    </row>
    <row r="20" spans="1:9" x14ac:dyDescent="0.25">
      <c r="A20" s="1"/>
      <c r="B20" s="110" t="s">
        <v>51</v>
      </c>
      <c r="C20" s="111"/>
      <c r="D20" s="111"/>
      <c r="E20" s="111"/>
      <c r="F20" s="112"/>
      <c r="G20" s="51">
        <v>0</v>
      </c>
      <c r="H20" s="14" t="s">
        <v>3</v>
      </c>
      <c r="I20" s="1"/>
    </row>
    <row r="21" spans="1:9" x14ac:dyDescent="0.25">
      <c r="A21" s="1"/>
      <c r="B21" s="104" t="s">
        <v>52</v>
      </c>
      <c r="C21" s="105"/>
      <c r="D21" s="105"/>
      <c r="E21" s="105"/>
      <c r="F21" s="106"/>
      <c r="G21" s="24">
        <f>SUM(G19:G20)*'Fane 14. Nøgletal'!C29</f>
        <v>752900.67076688434</v>
      </c>
      <c r="H21" s="14" t="s">
        <v>3</v>
      </c>
      <c r="I21" s="1"/>
    </row>
    <row r="22" spans="1:9" x14ac:dyDescent="0.25">
      <c r="A22" s="1"/>
      <c r="B22" s="38"/>
      <c r="C22" s="32"/>
      <c r="D22" s="32"/>
      <c r="E22" s="32"/>
      <c r="F22" s="32"/>
      <c r="G22" s="32"/>
      <c r="H22" s="20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99" t="s">
        <v>59</v>
      </c>
      <c r="C24" s="100"/>
      <c r="D24" s="100"/>
      <c r="E24" s="100"/>
      <c r="F24" s="100"/>
      <c r="G24" s="100"/>
      <c r="H24" s="101"/>
      <c r="I24" s="1"/>
    </row>
    <row r="25" spans="1:9" x14ac:dyDescent="0.25">
      <c r="A25" s="1"/>
      <c r="B25" s="104" t="s">
        <v>53</v>
      </c>
      <c r="C25" s="105"/>
      <c r="D25" s="105"/>
      <c r="E25" s="105"/>
      <c r="F25" s="106"/>
      <c r="G25" s="24">
        <f>(G19+G20-G21)*(1+'Fane 14. Nøgletal'!C12)</f>
        <v>37618907.88506861</v>
      </c>
      <c r="H25" s="14" t="s">
        <v>3</v>
      </c>
      <c r="I25" s="1"/>
    </row>
    <row r="26" spans="1:9" x14ac:dyDescent="0.25">
      <c r="A26" s="1"/>
      <c r="B26" s="110" t="s">
        <v>54</v>
      </c>
      <c r="C26" s="111"/>
      <c r="D26" s="111"/>
      <c r="E26" s="111"/>
      <c r="F26" s="112"/>
      <c r="G26" s="24">
        <v>838837.60393851006</v>
      </c>
      <c r="H26" s="14" t="s">
        <v>3</v>
      </c>
      <c r="I26" s="1"/>
    </row>
    <row r="27" spans="1:9" x14ac:dyDescent="0.25">
      <c r="A27" s="1"/>
      <c r="B27" s="104" t="s">
        <v>55</v>
      </c>
      <c r="C27" s="105"/>
      <c r="D27" s="105"/>
      <c r="E27" s="105"/>
      <c r="F27" s="106"/>
      <c r="G27" s="24">
        <f>(G25+G26)*'Fane 14. Nøgletal'!C29</f>
        <v>769154.90978014248</v>
      </c>
      <c r="H27" s="14" t="s">
        <v>3</v>
      </c>
      <c r="I27" s="1"/>
    </row>
    <row r="28" spans="1:9" x14ac:dyDescent="0.25">
      <c r="A28" s="1"/>
      <c r="B28" s="38"/>
      <c r="C28" s="32"/>
      <c r="D28" s="32"/>
      <c r="E28" s="32"/>
      <c r="F28" s="32"/>
      <c r="G28" s="32"/>
      <c r="H28" s="20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99" t="s">
        <v>62</v>
      </c>
      <c r="C30" s="100"/>
      <c r="D30" s="100"/>
      <c r="E30" s="100"/>
      <c r="F30" s="100"/>
      <c r="G30" s="100"/>
      <c r="H30" s="101"/>
      <c r="I30" s="1"/>
    </row>
    <row r="31" spans="1:9" x14ac:dyDescent="0.25">
      <c r="A31" s="1"/>
      <c r="B31" s="104" t="s">
        <v>63</v>
      </c>
      <c r="C31" s="105"/>
      <c r="D31" s="105"/>
      <c r="E31" s="105"/>
      <c r="F31" s="106"/>
      <c r="G31" s="24">
        <f>(G25+G26-G27)*(1+'Fane 14. Nøgletal'!C12)</f>
        <v>38431055.813637748</v>
      </c>
      <c r="H31" s="14" t="s">
        <v>3</v>
      </c>
      <c r="I31" s="1"/>
    </row>
    <row r="32" spans="1:9" x14ac:dyDescent="0.25">
      <c r="A32" s="1"/>
      <c r="B32" s="104" t="s">
        <v>171</v>
      </c>
      <c r="C32" s="105"/>
      <c r="D32" s="105"/>
      <c r="E32" s="105"/>
      <c r="F32" s="106"/>
      <c r="G32" s="24">
        <v>739630.00398672</v>
      </c>
      <c r="H32" s="14" t="s">
        <v>3</v>
      </c>
      <c r="I32" s="1"/>
    </row>
    <row r="33" spans="1:9" x14ac:dyDescent="0.25">
      <c r="A33" s="1"/>
      <c r="B33" s="104" t="s">
        <v>64</v>
      </c>
      <c r="C33" s="105"/>
      <c r="D33" s="105"/>
      <c r="E33" s="105"/>
      <c r="F33" s="106"/>
      <c r="G33" s="24">
        <f>(G31+G32)*'Fane 14. Nøgletal'!C29</f>
        <v>783413.71635248931</v>
      </c>
      <c r="H33" s="14" t="s">
        <v>3</v>
      </c>
      <c r="I33" s="1"/>
    </row>
    <row r="34" spans="1:9" x14ac:dyDescent="0.25">
      <c r="A34" s="1"/>
      <c r="B34" s="38"/>
      <c r="C34" s="32"/>
      <c r="D34" s="32"/>
      <c r="E34" s="32"/>
      <c r="F34" s="32"/>
      <c r="G34" s="32"/>
      <c r="H34" s="20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99" t="s">
        <v>232</v>
      </c>
      <c r="C36" s="100"/>
      <c r="D36" s="100"/>
      <c r="E36" s="100"/>
      <c r="F36" s="100"/>
      <c r="G36" s="100"/>
      <c r="H36" s="101"/>
      <c r="I36" s="1"/>
    </row>
    <row r="37" spans="1:9" x14ac:dyDescent="0.25">
      <c r="A37" s="1"/>
      <c r="B37" s="104" t="s">
        <v>84</v>
      </c>
      <c r="C37" s="105"/>
      <c r="D37" s="105"/>
      <c r="E37" s="105"/>
      <c r="F37" s="106"/>
      <c r="G37" s="24">
        <f>(G31+G32-G33)*(1+'Fane 14. Nøgletal'!C14)</f>
        <v>38513950.099206172</v>
      </c>
      <c r="H37" s="14" t="s">
        <v>3</v>
      </c>
      <c r="I37" s="1"/>
    </row>
    <row r="38" spans="1:9" x14ac:dyDescent="0.25">
      <c r="A38" s="1"/>
      <c r="B38" s="104" t="s">
        <v>236</v>
      </c>
      <c r="C38" s="105"/>
      <c r="D38" s="105"/>
      <c r="E38" s="105"/>
      <c r="F38" s="106"/>
      <c r="G38" s="24">
        <f>SUM('Fane 2.1. Økonomisk ramme 2022'!C10,'Fane 2.1. Økonomisk ramme 2022'!C12,'Fane 2.1. Økonomisk ramme 2022'!C14)*(1+'Fane 14. Nøgletal'!C14)</f>
        <v>209944.80688374004</v>
      </c>
      <c r="H38" s="14" t="s">
        <v>3</v>
      </c>
      <c r="I38" s="1"/>
    </row>
    <row r="39" spans="1:9" x14ac:dyDescent="0.25">
      <c r="A39" s="1"/>
      <c r="B39" s="104" t="s">
        <v>234</v>
      </c>
      <c r="C39" s="105"/>
      <c r="D39" s="105"/>
      <c r="E39" s="105"/>
      <c r="F39" s="106"/>
      <c r="G39" s="24">
        <f>(G37+G38)*'Fane 14. Nøgletal'!C29</f>
        <v>774477.89812179818</v>
      </c>
      <c r="H39" s="14" t="s">
        <v>3</v>
      </c>
      <c r="I39" s="1"/>
    </row>
    <row r="40" spans="1:9" x14ac:dyDescent="0.25">
      <c r="A40" s="1"/>
      <c r="B40" s="38"/>
      <c r="C40" s="32"/>
      <c r="D40" s="32"/>
      <c r="E40" s="32"/>
      <c r="F40" s="32"/>
      <c r="G40" s="32"/>
      <c r="H40" s="20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99" t="s">
        <v>233</v>
      </c>
      <c r="C42" s="100"/>
      <c r="D42" s="100"/>
      <c r="E42" s="100"/>
      <c r="F42" s="100"/>
      <c r="G42" s="100"/>
      <c r="H42" s="101"/>
      <c r="I42" s="1"/>
    </row>
    <row r="43" spans="1:9" x14ac:dyDescent="0.25">
      <c r="A43" s="1"/>
      <c r="B43" s="104" t="s">
        <v>83</v>
      </c>
      <c r="C43" s="105"/>
      <c r="D43" s="105"/>
      <c r="E43" s="105"/>
      <c r="F43" s="106"/>
      <c r="G43" s="24">
        <f>(G37+G38-G39)*(1+'Fane 14. Nøgletal'!C14)</f>
        <v>38074650.084094413</v>
      </c>
      <c r="H43" s="14" t="s">
        <v>3</v>
      </c>
      <c r="I43" s="1"/>
    </row>
    <row r="44" spans="1:9" x14ac:dyDescent="0.25">
      <c r="A44" s="1"/>
      <c r="B44" s="107" t="s">
        <v>237</v>
      </c>
      <c r="C44" s="108"/>
      <c r="D44" s="108"/>
      <c r="E44" s="108"/>
      <c r="F44" s="109"/>
      <c r="G44" s="24">
        <f>G38*(1+'Fane 14. Nøgletal'!C14)</f>
        <v>210637.62474645639</v>
      </c>
      <c r="H44" s="14" t="s">
        <v>3</v>
      </c>
      <c r="I44" s="1"/>
    </row>
    <row r="45" spans="1:9" x14ac:dyDescent="0.25">
      <c r="A45" s="1"/>
      <c r="B45" s="104" t="s">
        <v>97</v>
      </c>
      <c r="C45" s="105"/>
      <c r="D45" s="105"/>
      <c r="E45" s="105"/>
      <c r="F45" s="106"/>
      <c r="G45" s="51">
        <v>0</v>
      </c>
      <c r="H45" s="14" t="s">
        <v>3</v>
      </c>
      <c r="I45" s="1"/>
    </row>
    <row r="46" spans="1:9" x14ac:dyDescent="0.25">
      <c r="A46" s="1"/>
      <c r="B46" s="104" t="s">
        <v>235</v>
      </c>
      <c r="C46" s="105"/>
      <c r="D46" s="105"/>
      <c r="E46" s="105"/>
      <c r="F46" s="106"/>
      <c r="G46" s="24">
        <f>(G43+G45)*'Fane 14. Nøgletal'!C29</f>
        <v>761493.00168188824</v>
      </c>
      <c r="H46" s="14" t="s">
        <v>3</v>
      </c>
      <c r="I46" s="1"/>
    </row>
    <row r="47" spans="1:9" x14ac:dyDescent="0.25">
      <c r="A47" s="1"/>
      <c r="B47" s="38"/>
      <c r="C47" s="32"/>
      <c r="D47" s="32"/>
      <c r="E47" s="32"/>
      <c r="F47" s="32"/>
      <c r="G47" s="32"/>
      <c r="H47" s="20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99" t="s">
        <v>172</v>
      </c>
      <c r="C51" s="100"/>
      <c r="D51" s="100"/>
      <c r="E51" s="100"/>
      <c r="F51" s="100"/>
      <c r="G51" s="100"/>
      <c r="H51" s="101"/>
      <c r="I51" s="1"/>
    </row>
    <row r="52" spans="1:9" x14ac:dyDescent="0.25">
      <c r="A52" s="1"/>
      <c r="B52" s="104" t="s">
        <v>173</v>
      </c>
      <c r="C52" s="105"/>
      <c r="D52" s="105"/>
      <c r="E52" s="105"/>
      <c r="F52" s="106"/>
      <c r="G52" s="24">
        <f>(G43+G45-G46)*(1+'Fane 14. Nøgletal'!C14)</f>
        <v>37436290.500784494</v>
      </c>
      <c r="H52" s="14" t="s">
        <v>3</v>
      </c>
      <c r="I52" s="1"/>
    </row>
    <row r="53" spans="1:9" x14ac:dyDescent="0.25">
      <c r="A53" s="1"/>
      <c r="B53" s="104" t="s">
        <v>174</v>
      </c>
      <c r="C53" s="105"/>
      <c r="D53" s="105"/>
      <c r="E53" s="105"/>
      <c r="F53" s="106"/>
      <c r="G53" s="51">
        <v>0</v>
      </c>
      <c r="H53" s="14" t="s">
        <v>3</v>
      </c>
      <c r="I53" s="1"/>
    </row>
    <row r="54" spans="1:9" x14ac:dyDescent="0.25">
      <c r="A54" s="1"/>
      <c r="B54" s="104" t="s">
        <v>175</v>
      </c>
      <c r="C54" s="105"/>
      <c r="D54" s="105"/>
      <c r="E54" s="105"/>
      <c r="F54" s="106"/>
      <c r="G54" s="24">
        <f>(G52+G53)*'Fane 14. Nøgletal'!C29</f>
        <v>748725.81001568993</v>
      </c>
      <c r="H54" s="14" t="s">
        <v>3</v>
      </c>
      <c r="I54" s="1"/>
    </row>
    <row r="55" spans="1:9" x14ac:dyDescent="0.2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99" t="s">
        <v>201</v>
      </c>
      <c r="C57" s="100"/>
      <c r="D57" s="100"/>
      <c r="E57" s="100"/>
      <c r="F57" s="100"/>
      <c r="G57" s="100"/>
      <c r="H57" s="101"/>
      <c r="I57" s="1"/>
    </row>
    <row r="58" spans="1:9" x14ac:dyDescent="0.25">
      <c r="A58" s="1"/>
      <c r="B58" s="62" t="s">
        <v>202</v>
      </c>
      <c r="C58" s="63"/>
      <c r="D58" s="63"/>
      <c r="E58" s="63"/>
      <c r="F58" s="64"/>
      <c r="G58" s="24">
        <f>(G52+G53-G54)*(1+'Fane 14. Nøgletal'!C14)</f>
        <v>36808633.654248342</v>
      </c>
      <c r="H58" s="14" t="s">
        <v>3</v>
      </c>
      <c r="I58" s="1"/>
    </row>
    <row r="59" spans="1:9" x14ac:dyDescent="0.25">
      <c r="A59" s="1"/>
      <c r="B59" s="62" t="s">
        <v>203</v>
      </c>
      <c r="C59" s="63"/>
      <c r="D59" s="63"/>
      <c r="E59" s="63"/>
      <c r="F59" s="64"/>
      <c r="G59" s="51">
        <v>0</v>
      </c>
      <c r="H59" s="14" t="s">
        <v>3</v>
      </c>
      <c r="I59" s="1"/>
    </row>
    <row r="60" spans="1:9" x14ac:dyDescent="0.25">
      <c r="A60" s="1"/>
      <c r="B60" s="62" t="s">
        <v>204</v>
      </c>
      <c r="C60" s="63"/>
      <c r="D60" s="63"/>
      <c r="E60" s="63"/>
      <c r="F60" s="64"/>
      <c r="G60" s="24">
        <f>(G58+G59)*'Fane 14. Nøgletal'!C29</f>
        <v>736172.67308496684</v>
      </c>
      <c r="H60" s="14" t="s">
        <v>3</v>
      </c>
      <c r="I60" s="1"/>
    </row>
    <row r="61" spans="1:9" x14ac:dyDescent="0.25">
      <c r="A61" s="1"/>
      <c r="B61" s="38"/>
      <c r="C61" s="32"/>
      <c r="D61" s="32"/>
      <c r="E61" s="32"/>
      <c r="F61" s="32"/>
      <c r="G61" s="32"/>
      <c r="H61" s="20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tIqLNp+VLI6/ynXVfak2p4r3ZA3f8Ng/XkOUTuwItemmNDhf+Bu/rVgPBxE5vi5KEtUoHyJigARglyiSHfNyoQ==" saltValue="KyD0HBw/qa6yVCYCpvpNbw==" spinCount="100000" sheet="1" objects="1" scenarios="1"/>
  <mergeCells count="37">
    <mergeCell ref="B11:F11"/>
    <mergeCell ref="B10:H10"/>
    <mergeCell ref="B6:F6"/>
    <mergeCell ref="B2:H3"/>
    <mergeCell ref="B24:H24"/>
    <mergeCell ref="B4:H4"/>
    <mergeCell ref="B5:F5"/>
    <mergeCell ref="B7:F7"/>
    <mergeCell ref="B12:F12"/>
    <mergeCell ref="B13:F13"/>
    <mergeCell ref="B30:H30"/>
    <mergeCell ref="B31:F31"/>
    <mergeCell ref="B36:H36"/>
    <mergeCell ref="B18:H18"/>
    <mergeCell ref="B14:F14"/>
    <mergeCell ref="B15:F15"/>
    <mergeCell ref="B19:F19"/>
    <mergeCell ref="B20:F20"/>
    <mergeCell ref="B21:F21"/>
    <mergeCell ref="B25:F25"/>
    <mergeCell ref="B26:F26"/>
    <mergeCell ref="B27:F27"/>
    <mergeCell ref="B57:H57"/>
    <mergeCell ref="B51:H51"/>
    <mergeCell ref="B52:F52"/>
    <mergeCell ref="B53:F53"/>
    <mergeCell ref="B32:F32"/>
    <mergeCell ref="B33:F33"/>
    <mergeCell ref="B42:H42"/>
    <mergeCell ref="B43:F43"/>
    <mergeCell ref="B46:F46"/>
    <mergeCell ref="B38:F38"/>
    <mergeCell ref="B45:F45"/>
    <mergeCell ref="B39:F39"/>
    <mergeCell ref="B44:F44"/>
    <mergeCell ref="B54:F54"/>
    <mergeCell ref="B37:F3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63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85546875" style="2" bestFit="1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113" t="s">
        <v>131</v>
      </c>
      <c r="C1" s="113"/>
      <c r="D1" s="113"/>
      <c r="E1" s="113"/>
      <c r="F1" s="113"/>
      <c r="G1" s="113"/>
      <c r="H1" s="113"/>
      <c r="I1" s="1"/>
    </row>
    <row r="2" spans="1:9" ht="15" customHeight="1" x14ac:dyDescent="0.25">
      <c r="A2" s="1"/>
      <c r="B2" s="113"/>
      <c r="C2" s="113"/>
      <c r="D2" s="113"/>
      <c r="E2" s="113"/>
      <c r="F2" s="113"/>
      <c r="G2" s="113"/>
      <c r="H2" s="113"/>
      <c r="I2" s="1"/>
    </row>
    <row r="3" spans="1:9" ht="15" customHeight="1" x14ac:dyDescent="0.25">
      <c r="A3" s="1"/>
      <c r="B3" s="114"/>
      <c r="C3" s="114"/>
      <c r="D3" s="114"/>
      <c r="E3" s="114"/>
      <c r="F3" s="114"/>
      <c r="G3" s="114"/>
      <c r="H3" s="114"/>
      <c r="I3" s="1"/>
    </row>
    <row r="4" spans="1:9" x14ac:dyDescent="0.25">
      <c r="A4" s="1"/>
      <c r="B4" s="99" t="s">
        <v>60</v>
      </c>
      <c r="C4" s="100"/>
      <c r="D4" s="100"/>
      <c r="E4" s="100"/>
      <c r="F4" s="100"/>
      <c r="G4" s="100"/>
      <c r="H4" s="101"/>
      <c r="I4" s="1"/>
    </row>
    <row r="5" spans="1:9" x14ac:dyDescent="0.25">
      <c r="A5" s="1"/>
      <c r="B5" s="104" t="s">
        <v>65</v>
      </c>
      <c r="C5" s="105"/>
      <c r="D5" s="105"/>
      <c r="E5" s="105"/>
      <c r="F5" s="106"/>
      <c r="G5" s="24">
        <v>54065227.474607795</v>
      </c>
      <c r="H5" s="14" t="s">
        <v>3</v>
      </c>
      <c r="I5" s="1"/>
    </row>
    <row r="6" spans="1:9" x14ac:dyDescent="0.25">
      <c r="A6" s="1"/>
      <c r="B6" s="104" t="s">
        <v>61</v>
      </c>
      <c r="C6" s="105"/>
      <c r="D6" s="105"/>
      <c r="E6" s="105"/>
      <c r="F6" s="106"/>
      <c r="G6" s="24">
        <f>G5*'Fane 14. Nøgletal'!C19</f>
        <v>491993.57001893094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9" t="s">
        <v>66</v>
      </c>
      <c r="C9" s="100"/>
      <c r="D9" s="100"/>
      <c r="E9" s="100"/>
      <c r="F9" s="100"/>
      <c r="G9" s="100"/>
      <c r="H9" s="101"/>
      <c r="I9" s="1"/>
    </row>
    <row r="10" spans="1:9" x14ac:dyDescent="0.25">
      <c r="A10" s="1"/>
      <c r="B10" s="104" t="s">
        <v>67</v>
      </c>
      <c r="C10" s="105"/>
      <c r="D10" s="105"/>
      <c r="E10" s="105"/>
      <c r="F10" s="106"/>
      <c r="G10" s="24">
        <f>(G5-G6)*(1+'Fane 14. Nøgletal'!C10)</f>
        <v>54510765.497919172</v>
      </c>
      <c r="H10" s="14" t="s">
        <v>3</v>
      </c>
      <c r="I10" s="1"/>
    </row>
    <row r="11" spans="1:9" x14ac:dyDescent="0.25">
      <c r="A11" s="1"/>
      <c r="B11" s="104" t="s">
        <v>147</v>
      </c>
      <c r="C11" s="105"/>
      <c r="D11" s="105"/>
      <c r="E11" s="105"/>
      <c r="F11" s="106"/>
      <c r="G11" s="24">
        <v>-2810114.2985806675</v>
      </c>
      <c r="H11" s="14" t="s">
        <v>3</v>
      </c>
      <c r="I11" s="1"/>
    </row>
    <row r="12" spans="1:9" x14ac:dyDescent="0.25">
      <c r="A12" s="1"/>
      <c r="B12" s="110" t="s">
        <v>68</v>
      </c>
      <c r="C12" s="111"/>
      <c r="D12" s="111"/>
      <c r="E12" s="111"/>
      <c r="F12" s="112"/>
      <c r="G12" s="51">
        <v>0</v>
      </c>
      <c r="H12" s="14" t="s">
        <v>3</v>
      </c>
      <c r="I12" s="1"/>
    </row>
    <row r="13" spans="1:9" x14ac:dyDescent="0.25">
      <c r="A13" s="1"/>
      <c r="B13" s="104" t="s">
        <v>69</v>
      </c>
      <c r="C13" s="105"/>
      <c r="D13" s="105"/>
      <c r="E13" s="105"/>
      <c r="F13" s="106"/>
      <c r="G13" s="24">
        <f>SUM(G10:G12)*'Fane 14. Nøgletal'!C20</f>
        <v>915101.52622829156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9" t="s">
        <v>70</v>
      </c>
      <c r="C16" s="100"/>
      <c r="D16" s="100"/>
      <c r="E16" s="100"/>
      <c r="F16" s="100"/>
      <c r="G16" s="100"/>
      <c r="H16" s="101"/>
      <c r="I16" s="1"/>
    </row>
    <row r="17" spans="1:9" x14ac:dyDescent="0.25">
      <c r="A17" s="1"/>
      <c r="B17" s="104" t="s">
        <v>71</v>
      </c>
      <c r="C17" s="105"/>
      <c r="D17" s="105"/>
      <c r="E17" s="105"/>
      <c r="F17" s="106"/>
      <c r="G17" s="24">
        <f>(SUM(G10:G12)-G13)*(1+'Fane 14. Nøgletal'!C10)</f>
        <v>51674296.792389639</v>
      </c>
      <c r="H17" s="14" t="s">
        <v>3</v>
      </c>
      <c r="I17" s="1"/>
    </row>
    <row r="18" spans="1:9" x14ac:dyDescent="0.25">
      <c r="A18" s="1"/>
      <c r="B18" s="110" t="s">
        <v>72</v>
      </c>
      <c r="C18" s="111"/>
      <c r="D18" s="111"/>
      <c r="E18" s="111"/>
      <c r="F18" s="112"/>
      <c r="G18" s="24">
        <v>178057.13301467997</v>
      </c>
      <c r="H18" s="14" t="s">
        <v>3</v>
      </c>
      <c r="I18" s="1"/>
    </row>
    <row r="19" spans="1:9" x14ac:dyDescent="0.25">
      <c r="A19" s="1"/>
      <c r="B19" s="104" t="s">
        <v>73</v>
      </c>
      <c r="C19" s="105"/>
      <c r="D19" s="105"/>
      <c r="E19" s="105"/>
      <c r="F19" s="106"/>
      <c r="G19" s="24">
        <f>G17*'Fane 14. Nøgletal'!C20+G18*'Fane 14. Nøgletal'!C21</f>
        <v>916184.15028252441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9" t="s">
        <v>74</v>
      </c>
      <c r="C22" s="100"/>
      <c r="D22" s="100"/>
      <c r="E22" s="100"/>
      <c r="F22" s="100"/>
      <c r="G22" s="100"/>
      <c r="H22" s="101"/>
      <c r="I22" s="1"/>
    </row>
    <row r="23" spans="1:9" x14ac:dyDescent="0.25">
      <c r="A23" s="1"/>
      <c r="B23" s="104" t="s">
        <v>75</v>
      </c>
      <c r="C23" s="105"/>
      <c r="D23" s="105"/>
      <c r="E23" s="105"/>
      <c r="F23" s="106"/>
      <c r="G23" s="24">
        <f>(G17+G18-G19)*(1+'Fane 14. Nøgletal'!C12)</f>
        <v>51939612.319691695</v>
      </c>
      <c r="H23" s="14" t="s">
        <v>3</v>
      </c>
      <c r="I23" s="1"/>
    </row>
    <row r="24" spans="1:9" x14ac:dyDescent="0.25">
      <c r="A24" s="1"/>
      <c r="B24" s="110" t="s">
        <v>76</v>
      </c>
      <c r="C24" s="111"/>
      <c r="D24" s="111"/>
      <c r="E24" s="111"/>
      <c r="F24" s="112"/>
      <c r="G24" s="24">
        <v>8814303.9624720421</v>
      </c>
      <c r="H24" s="14" t="s">
        <v>3</v>
      </c>
      <c r="I24" s="1"/>
    </row>
    <row r="25" spans="1:9" x14ac:dyDescent="0.25">
      <c r="A25" s="1"/>
      <c r="B25" s="104" t="s">
        <v>77</v>
      </c>
      <c r="C25" s="105"/>
      <c r="D25" s="105"/>
      <c r="E25" s="105"/>
      <c r="F25" s="106"/>
      <c r="G25" s="24">
        <f>(G23+G24)*'Fane 14. Nøgletal'!C22</f>
        <v>1725411.2224134502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9" t="s">
        <v>78</v>
      </c>
      <c r="C28" s="100"/>
      <c r="D28" s="100"/>
      <c r="E28" s="100"/>
      <c r="F28" s="100"/>
      <c r="G28" s="100"/>
      <c r="H28" s="101"/>
      <c r="I28" s="1"/>
    </row>
    <row r="29" spans="1:9" x14ac:dyDescent="0.25">
      <c r="A29" s="1"/>
      <c r="B29" s="104" t="s">
        <v>79</v>
      </c>
      <c r="C29" s="105"/>
      <c r="D29" s="105"/>
      <c r="E29" s="105"/>
      <c r="F29" s="106"/>
      <c r="G29" s="24">
        <f>(G23+G24-G25)*(1+'Fane 14. Nøgletal'!C12)</f>
        <v>60191366.60942737</v>
      </c>
      <c r="H29" s="14" t="s">
        <v>3</v>
      </c>
      <c r="I29" s="1"/>
    </row>
    <row r="30" spans="1:9" x14ac:dyDescent="0.25">
      <c r="A30" s="1"/>
      <c r="B30" s="104" t="s">
        <v>176</v>
      </c>
      <c r="C30" s="105"/>
      <c r="D30" s="105"/>
      <c r="E30" s="105"/>
      <c r="F30" s="106"/>
      <c r="G30" s="24">
        <v>18940252.461338878</v>
      </c>
      <c r="H30" s="14" t="s">
        <v>3</v>
      </c>
      <c r="I30" s="1"/>
    </row>
    <row r="31" spans="1:9" x14ac:dyDescent="0.25">
      <c r="A31" s="1"/>
      <c r="B31" s="104" t="s">
        <v>80</v>
      </c>
      <c r="C31" s="105"/>
      <c r="D31" s="105"/>
      <c r="E31" s="105"/>
      <c r="F31" s="106"/>
      <c r="G31" s="24">
        <f>G29*'Fane 14. Nøgletal'!C22+G30*'Fane 14. Nøgletal'!C23</f>
        <v>2230291.7543945564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9" t="s">
        <v>238</v>
      </c>
      <c r="C34" s="100"/>
      <c r="D34" s="100"/>
      <c r="E34" s="100"/>
      <c r="F34" s="100"/>
      <c r="G34" s="100"/>
      <c r="H34" s="101"/>
      <c r="I34" s="1"/>
    </row>
    <row r="35" spans="1:9" x14ac:dyDescent="0.25">
      <c r="A35" s="1"/>
      <c r="B35" s="104" t="s">
        <v>82</v>
      </c>
      <c r="C35" s="105"/>
      <c r="D35" s="105"/>
      <c r="E35" s="105"/>
      <c r="F35" s="106"/>
      <c r="G35" s="24">
        <f>(G29+G30-G31)*(1+'Fane 14. Nøgletal'!C14)</f>
        <v>77155101.696515709</v>
      </c>
      <c r="H35" s="14" t="s">
        <v>3</v>
      </c>
      <c r="I35" s="1"/>
    </row>
    <row r="36" spans="1:9" x14ac:dyDescent="0.25">
      <c r="A36" s="1"/>
      <c r="B36" s="104" t="s">
        <v>240</v>
      </c>
      <c r="C36" s="105"/>
      <c r="D36" s="105"/>
      <c r="E36" s="105"/>
      <c r="F36" s="106"/>
      <c r="G36" s="24">
        <f>SUM('Fane 2.1. Økonomisk ramme 2022'!C11,'Fane 2.1. Økonomisk ramme 2022'!C13,'Fane 2.1. Økonomisk ramme 2022'!C15)*(1+'Fane 14. Nøgletal'!C14)</f>
        <v>1553145.1368289709</v>
      </c>
      <c r="H36" s="14" t="s">
        <v>3</v>
      </c>
      <c r="I36" s="1"/>
    </row>
    <row r="37" spans="1:9" x14ac:dyDescent="0.25">
      <c r="A37" s="1"/>
      <c r="B37" s="104" t="s">
        <v>239</v>
      </c>
      <c r="C37" s="105"/>
      <c r="D37" s="105"/>
      <c r="E37" s="105"/>
      <c r="F37" s="106"/>
      <c r="G37" s="24">
        <f>(G35+G36)*'Fane 14. Nøgletal'!C24</f>
        <v>1164882.0531335014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9" t="s">
        <v>85</v>
      </c>
      <c r="C40" s="100"/>
      <c r="D40" s="100"/>
      <c r="E40" s="100"/>
      <c r="F40" s="100"/>
      <c r="G40" s="100"/>
      <c r="H40" s="101"/>
      <c r="I40" s="1"/>
    </row>
    <row r="41" spans="1:9" x14ac:dyDescent="0.25">
      <c r="A41" s="1"/>
      <c r="B41" s="104" t="s">
        <v>81</v>
      </c>
      <c r="C41" s="105"/>
      <c r="D41" s="105"/>
      <c r="E41" s="105"/>
      <c r="F41" s="106"/>
      <c r="G41" s="24">
        <f>(G35+G36-G37)*(1+'Fane 14. Nøgletal'!C14)</f>
        <v>77799257.883985877</v>
      </c>
      <c r="H41" s="14" t="s">
        <v>3</v>
      </c>
      <c r="I41" s="1"/>
    </row>
    <row r="42" spans="1:9" x14ac:dyDescent="0.25">
      <c r="A42" s="1"/>
      <c r="B42" s="47" t="s">
        <v>242</v>
      </c>
      <c r="C42" s="63"/>
      <c r="D42" s="63"/>
      <c r="E42" s="63"/>
      <c r="F42" s="64"/>
      <c r="G42" s="24">
        <f>G36*(1+'Fane 14. Nøgletal'!C14)</f>
        <v>1558270.5157805067</v>
      </c>
      <c r="H42" s="14" t="s">
        <v>3</v>
      </c>
      <c r="I42" s="1"/>
    </row>
    <row r="43" spans="1:9" x14ac:dyDescent="0.25">
      <c r="A43" s="1"/>
      <c r="B43" s="104" t="s">
        <v>101</v>
      </c>
      <c r="C43" s="105"/>
      <c r="D43" s="105"/>
      <c r="E43" s="105"/>
      <c r="F43" s="106"/>
      <c r="G43" s="51">
        <v>0</v>
      </c>
      <c r="H43" s="14" t="s">
        <v>3</v>
      </c>
      <c r="I43" s="1"/>
    </row>
    <row r="44" spans="1:9" x14ac:dyDescent="0.25">
      <c r="A44" s="1"/>
      <c r="B44" s="104" t="s">
        <v>241</v>
      </c>
      <c r="C44" s="105"/>
      <c r="D44" s="105"/>
      <c r="E44" s="105"/>
      <c r="F44" s="106"/>
      <c r="G44" s="24">
        <f>(G41+G43)*'Fane 14. Nøgletal'!C24</f>
        <v>1151429.0166829911</v>
      </c>
      <c r="H44" s="14" t="s">
        <v>3</v>
      </c>
      <c r="I44" s="1"/>
    </row>
    <row r="45" spans="1:9" x14ac:dyDescent="0.25">
      <c r="A45" s="1"/>
      <c r="B45" s="38"/>
      <c r="C45" s="32"/>
      <c r="D45" s="32"/>
      <c r="E45" s="32"/>
      <c r="F45" s="32"/>
      <c r="G45" s="32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99" t="s">
        <v>181</v>
      </c>
      <c r="C52" s="100"/>
      <c r="D52" s="100"/>
      <c r="E52" s="100"/>
      <c r="F52" s="100"/>
      <c r="G52" s="100"/>
      <c r="H52" s="101"/>
      <c r="I52" s="1"/>
    </row>
    <row r="53" spans="1:9" x14ac:dyDescent="0.25">
      <c r="A53" s="1"/>
      <c r="B53" s="104" t="s">
        <v>182</v>
      </c>
      <c r="C53" s="105"/>
      <c r="D53" s="105"/>
      <c r="E53" s="105"/>
      <c r="F53" s="106"/>
      <c r="G53" s="24">
        <f>(G41+G43-G44)*(1+'Fane 14. Nøgletal'!C14)</f>
        <v>76900766.702564985</v>
      </c>
      <c r="H53" s="14" t="s">
        <v>3</v>
      </c>
      <c r="I53" s="1"/>
    </row>
    <row r="54" spans="1:9" x14ac:dyDescent="0.25">
      <c r="A54" s="1"/>
      <c r="B54" s="104" t="s">
        <v>183</v>
      </c>
      <c r="C54" s="105"/>
      <c r="D54" s="105"/>
      <c r="E54" s="105"/>
      <c r="F54" s="106"/>
      <c r="G54" s="51">
        <v>0</v>
      </c>
      <c r="H54" s="14" t="s">
        <v>3</v>
      </c>
      <c r="I54" s="1"/>
    </row>
    <row r="55" spans="1:9" x14ac:dyDescent="0.25">
      <c r="A55" s="1"/>
      <c r="B55" s="104" t="s">
        <v>184</v>
      </c>
      <c r="C55" s="105"/>
      <c r="D55" s="105"/>
      <c r="E55" s="105"/>
      <c r="F55" s="106"/>
      <c r="G55" s="24">
        <f>(G53+G54)*'Fane 14. Nøgletal'!C24</f>
        <v>1138131.3471979618</v>
      </c>
      <c r="H55" s="14" t="s">
        <v>3</v>
      </c>
      <c r="I55" s="1"/>
    </row>
    <row r="56" spans="1:9" x14ac:dyDescent="0.2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99" t="s">
        <v>205</v>
      </c>
      <c r="C58" s="100"/>
      <c r="D58" s="100"/>
      <c r="E58" s="100"/>
      <c r="F58" s="100"/>
      <c r="G58" s="100"/>
      <c r="H58" s="101"/>
      <c r="I58" s="1"/>
    </row>
    <row r="59" spans="1:9" x14ac:dyDescent="0.25">
      <c r="A59" s="1"/>
      <c r="B59" s="104" t="s">
        <v>255</v>
      </c>
      <c r="C59" s="105"/>
      <c r="D59" s="105"/>
      <c r="E59" s="105"/>
      <c r="F59" s="106"/>
      <c r="G59" s="24">
        <f>(G53+G54-G55)*(1+'Fane 14. Nøgletal'!C14)</f>
        <v>76012652.052039742</v>
      </c>
      <c r="H59" s="14" t="s">
        <v>3</v>
      </c>
      <c r="I59" s="1"/>
    </row>
    <row r="60" spans="1:9" x14ac:dyDescent="0.25">
      <c r="A60" s="1"/>
      <c r="B60" s="104" t="s">
        <v>256</v>
      </c>
      <c r="C60" s="105"/>
      <c r="D60" s="105"/>
      <c r="E60" s="105"/>
      <c r="F60" s="106"/>
      <c r="G60" s="51">
        <v>0</v>
      </c>
      <c r="H60" s="14" t="s">
        <v>3</v>
      </c>
      <c r="I60" s="1"/>
    </row>
    <row r="61" spans="1:9" x14ac:dyDescent="0.25">
      <c r="A61" s="1"/>
      <c r="B61" s="104" t="s">
        <v>257</v>
      </c>
      <c r="C61" s="105"/>
      <c r="D61" s="105"/>
      <c r="E61" s="105"/>
      <c r="F61" s="106"/>
      <c r="G61" s="24">
        <f>(G59+G60)*'Fane 14. Nøgletal'!C24</f>
        <v>1124987.2503701882</v>
      </c>
      <c r="H61" s="14" t="s">
        <v>3</v>
      </c>
      <c r="I61" s="1"/>
    </row>
    <row r="62" spans="1:9" x14ac:dyDescent="0.2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SQJ9CyiSMzm0zBnTIazfH89229N0wXxwKRnMrJ7IvB1MRWNzbu++UiP0YWK8tHTm/GKrbe6wTijU/CjtEtfkUw==" saltValue="r9Xube/8EqGk4P2XsVx3pg==" spinCount="100000" sheet="1" objects="1" scenarios="1"/>
  <mergeCells count="37">
    <mergeCell ref="B1:H3"/>
    <mergeCell ref="B52:H52"/>
    <mergeCell ref="B53:F53"/>
    <mergeCell ref="B54:F54"/>
    <mergeCell ref="B55:F55"/>
    <mergeCell ref="B35:F35"/>
    <mergeCell ref="B44:F44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23:F23"/>
    <mergeCell ref="B24:F24"/>
    <mergeCell ref="B25:F25"/>
    <mergeCell ref="B41:F41"/>
    <mergeCell ref="B28:H28"/>
    <mergeCell ref="B29:F29"/>
    <mergeCell ref="B31:F31"/>
    <mergeCell ref="B34:H34"/>
    <mergeCell ref="B36:F36"/>
    <mergeCell ref="B37:F37"/>
    <mergeCell ref="B40:H40"/>
    <mergeCell ref="B58:H58"/>
    <mergeCell ref="B59:F59"/>
    <mergeCell ref="B60:F60"/>
    <mergeCell ref="B61:F61"/>
    <mergeCell ref="B43:F4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96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9" t="s">
        <v>10</v>
      </c>
      <c r="C8" s="100"/>
      <c r="D8" s="100"/>
      <c r="E8" s="100"/>
      <c r="F8" s="100"/>
      <c r="G8" s="100"/>
      <c r="H8" s="101"/>
      <c r="I8" s="1"/>
    </row>
    <row r="9" spans="1:9" x14ac:dyDescent="0.25">
      <c r="A9" s="1"/>
      <c r="B9" s="104" t="s">
        <v>243</v>
      </c>
      <c r="C9" s="105"/>
      <c r="D9" s="105"/>
      <c r="E9" s="105"/>
      <c r="F9" s="106"/>
      <c r="G9" s="23">
        <v>0</v>
      </c>
      <c r="H9" s="14"/>
      <c r="I9" s="1"/>
    </row>
    <row r="10" spans="1:9" x14ac:dyDescent="0.25">
      <c r="A10" s="1"/>
      <c r="B10" s="104" t="s">
        <v>86</v>
      </c>
      <c r="C10" s="105"/>
      <c r="D10" s="105"/>
      <c r="E10" s="105"/>
      <c r="F10" s="106"/>
      <c r="G10" s="23">
        <v>1.024634702972667E-2</v>
      </c>
      <c r="H10" s="14"/>
      <c r="I10" s="1"/>
    </row>
    <row r="11" spans="1:9" x14ac:dyDescent="0.25">
      <c r="A11" s="1"/>
      <c r="B11" s="104" t="s">
        <v>87</v>
      </c>
      <c r="C11" s="105"/>
      <c r="D11" s="105"/>
      <c r="E11" s="105"/>
      <c r="F11" s="106"/>
      <c r="G11" s="41">
        <v>6.8073021808104104E-3</v>
      </c>
      <c r="H11" s="14"/>
      <c r="I11" s="1"/>
    </row>
    <row r="12" spans="1:9" x14ac:dyDescent="0.25">
      <c r="A12" s="1"/>
      <c r="B12" s="104" t="s">
        <v>206</v>
      </c>
      <c r="C12" s="105"/>
      <c r="D12" s="105"/>
      <c r="E12" s="105"/>
      <c r="F12" s="106"/>
      <c r="G12" s="41">
        <v>0.02</v>
      </c>
      <c r="H12" s="46"/>
      <c r="I12" s="1"/>
    </row>
    <row r="13" spans="1:9" x14ac:dyDescent="0.25">
      <c r="A13" s="1"/>
      <c r="B13" s="38"/>
      <c r="C13" s="32"/>
      <c r="D13" s="32"/>
      <c r="E13" s="32"/>
      <c r="F13" s="32"/>
      <c r="G13" s="32"/>
      <c r="H13" s="20"/>
      <c r="I13" s="1"/>
    </row>
    <row r="14" spans="1:9" ht="40.5" customHeight="1" x14ac:dyDescent="0.25">
      <c r="A14" s="1"/>
      <c r="B14" s="115" t="s">
        <v>207</v>
      </c>
      <c r="C14" s="115"/>
      <c r="D14" s="115"/>
      <c r="E14" s="115"/>
      <c r="F14" s="115"/>
      <c r="G14" s="115"/>
      <c r="H14" s="115"/>
      <c r="I14" s="1"/>
    </row>
    <row r="15" spans="1:9" ht="14.25" customHeight="1" x14ac:dyDescent="0.25">
      <c r="A15" s="18"/>
      <c r="B15" s="115"/>
      <c r="C15" s="115"/>
      <c r="D15" s="115"/>
      <c r="E15" s="115"/>
      <c r="F15" s="115"/>
      <c r="G15" s="115"/>
      <c r="H15" s="115"/>
      <c r="I15" s="18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0I/1xQIqAkRMpE0MUEN7deqHPKV7acrtaeGAPfZ+nfZgN7DoGgTgbms82qoyp910/wSVLtlnNLyGNtY8qxPGtQ==" saltValue="IicbTiXzcx+VUwoHVk/9uA==" spinCount="100000" sheet="1" objects="1" scenarios="1"/>
  <mergeCells count="8">
    <mergeCell ref="B3:H4"/>
    <mergeCell ref="B15:H15"/>
    <mergeCell ref="B8:H8"/>
    <mergeCell ref="B10:F10"/>
    <mergeCell ref="B11:F11"/>
    <mergeCell ref="B14:H14"/>
    <mergeCell ref="B12:F12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Korrektion af ØR2020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Christina Cramer Calonius Hoffgaard</cp:lastModifiedBy>
  <cp:lastPrinted>2016-06-14T12:57:30Z</cp:lastPrinted>
  <dcterms:created xsi:type="dcterms:W3CDTF">2016-06-02T08:51:18Z</dcterms:created>
  <dcterms:modified xsi:type="dcterms:W3CDTF">2021-10-12T11:36:31Z</dcterms:modified>
</cp:coreProperties>
</file>