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Gladsaxe AS (V06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C16" i="19" l="1"/>
  <c r="E33" i="32" l="1"/>
  <c r="E39" i="32" s="1"/>
  <c r="E41" i="32" s="1"/>
  <c r="E16" i="27" l="1"/>
  <c r="E13" i="11" l="1"/>
  <c r="E14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5" i="11"/>
  <c r="C10" i="37" s="1"/>
  <c r="C12" i="37" s="1"/>
  <c r="G15" i="11"/>
  <c r="C13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5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<sst xmlns="http://schemas.openxmlformats.org/spreadsheetml/2006/main" count="606" uniqueCount="252">
  <si>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</si>
  <si>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</si>
  <si>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</si>
  <si>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</si>
  <si>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</si>
  <si>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</si>
  <si>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</si>
  <si>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</si>
  <si>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</si>
  <si>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</si>
  <si>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</si>
  <si>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</si>
  <si>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</si>
  <si>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</si>
  <si>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</si>
  <si>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</si>
  <si>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</si>
  <si>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</si>
  <si>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</si>
  <si>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</si>
  <si>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</si>
  <si>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</si>
  <si>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</si>
  <si>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</si>
  <si>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</si>
  <si>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</si>
  <si>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</si>
  <si>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</si>
  <si>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</si>
  <si>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</si>
  <si>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</si>
  <si>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</si>
  <si>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</si>
  <si>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</si>
  <si>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</si>
  <si>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</si>
  <si>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</si>
  <si>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</si>
  <si>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</si>
  <si>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</si>
  <si>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</si>
  <si>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</si>
  <si>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</si>
  <si>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</si>
  <si>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</si>
  <si>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</si>
  <si>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</si>
  <si>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</si>
  <si>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</si>
  <si>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</si>
  <si>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</si>
  <si>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</si>
  <si>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</si>
  <si>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</si>
  <si>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</si>
  <si>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</si>
  <si>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</si>
  <si>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</si>
  <si>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</si>
  <si>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</si>
  <si>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</si>
  <si>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</si>
  <si>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</si>
  <si>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</si>
  <si>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</si>
  <si>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</si>
  <si>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</si>
  <si>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</si>
  <si>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</si>
  <si>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</si>
  <si>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</si>
  <si>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</si>
  <si>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</si>
  <si>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</si>
  <si>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</si>
  <si>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</si>
  <si>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</si>
  <si>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</si>
  <si>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</si>
  <si>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</si>
  <si>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</si>
  <si>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</si>
  <si>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</si>
  <si>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</si>
  <si>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</si>
  <si>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</si>
  <si>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</si>
  <si>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</si>
  <si>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</si>
  <si>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</si>
  <si>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</si>
  <si>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</si>
  <si>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</si>
  <si>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</si>
  <si>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</si>
  <si>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</si>
  <si>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</si>
  <si>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</si>
  <si>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</si>
  <si>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</si>
  <si>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</si>
  <si>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</si>
  <si>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</si>
  <si>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</si>
  <si>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</si>
  <si>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</si>
  <si>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</si>
  <si>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</si>
  <si>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</si>
  <si>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</si>
  <si>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</si>
  <si>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</si>
  <si>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</si>
  <si>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</si>
  <si>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</si>
  <si>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</si>
  <si>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</si>
  <si>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</si>
  <si>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</si>
  <si>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</si>
  <si>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</si>
  <si>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</si>
  <si>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</si>
  <si>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</si>
  <si>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</si>
  <si>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</si>
  <si>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</si>
  <si>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</si>
  <si>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</si>
  <si>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</si>
  <si>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</si>
  <si>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</si>
  <si>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</si>
  <si>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</si>
  <si>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</si>
  <si>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</si>
  <si>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</si>
  <si>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</si>
  <si>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</si>
  <si>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</si>
  <si>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</si>
  <si>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</si>
  <si>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</si>
  <si>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</si>
  <si>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</si>
  <si>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</si>
  <si>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</si>
  <si>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</si>
  <si>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</si>
  <si>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</si>
  <si>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</si>
  <si>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</si>
  <si>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</si>
  <si>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</si>
  <si>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</si>
  <si>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</si>
  <si>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</si>
  <si>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</si>
  <si>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</si>
  <si>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</si>
  <si>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</si>
  <si>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</si>
  <si>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</si>
  <si>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</si>
  <si>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</si>
  <si>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</si>
  <si>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</si>
  <si>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</si>
  <si>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</si>
  <si>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</si>
  <si>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</si>
  <si>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</si>
  <si>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</si>
  <si>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</si>
  <si>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</si>
  <si>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</si>
  <si>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</si>
  <si>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</si>
  <si>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</si>
  <si>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</si>
  <si>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</si>
  <si>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</si>
  <si>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</si>
  <si>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</si>
  <si>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</si>
  <si>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</si>
  <si>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</si>
  <si>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</si>
  <si>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</si>
  <si>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</si>
  <si>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</si>
  <si>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</si>
  <si>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</si>
  <si>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</si>
  <si>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</si>
  <si>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</si>
  <si>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</si>
  <si>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</si>
  <si>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</si>
  <si>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</si>
  <si>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</si>
  <si>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</si>
  <si>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</si>
  <si>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</si>
  <si>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</si>
  <si>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</si>
  <si>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</si>
  <si>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</si>
  <si>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</si>
  <si>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</si>
  <si>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</si>
  <si>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</si>
  <si>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</si>
  <si>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</si>
  <si>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</si>
  <si>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</si>
  <si>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</si>
  <si>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</si>
  <si>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</si>
  <si>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</si>
  <si>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</si>
  <si>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</si>
  <si>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</si>
  <si>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</si>
  <si>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</si>
  <si>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</si>
  <si>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</si>
  <si>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</si>
  <si>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</si>
  <si>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</si>
  <si>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</si>
  <si>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</si>
  <si>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</si>
  <si>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</si>
  <si>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</si>
  <si>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</si>
  <si>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</si>
  <si>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</si>
  <si>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</si>
  <si>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Erstatninger</t>
  </si>
  <si>
    <t>Ingen tilknyttet virksomhed</t>
  </si>
  <si>
    <t>Ingen bortfald eller nedsættelse</t>
  </si>
  <si>
    <t>Udvidelse af forsyningsområde</t>
  </si>
  <si>
    <t>Ingen engangstillæg</t>
  </si>
  <si>
    <t>Ledningsnet ≤ Ø50 mm</t>
  </si>
  <si>
    <t>75</t>
  </si>
  <si>
    <t>Ø 50mm &lt; Ledningsnet ≤ Ø110 mm</t>
  </si>
  <si>
    <t>Ventiler på ledningsnet ≤ Ø50 mm</t>
  </si>
  <si>
    <t>Ventiler på Ø 50mm &lt; Ledningsnet ≤ Ø110 mm</t>
  </si>
  <si>
    <t>Yderligere opkrævningsret efter § 17, stk. 10 - 2017</t>
  </si>
  <si>
    <t>Yderligere opkrævningsret efter § 17, stk. 10 - 2018</t>
  </si>
  <si>
    <t>Økonomisk ramme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</si>
</sst>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4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4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4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4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4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4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4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4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4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4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4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4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4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23394982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106467</v>
      </c>
      <c r="D11" s="14" t="s">
        <v>3</v>
      </c>
      <c r="E11" s="1"/>
      <c r="F11" s="1"/>
    </row>
    <row r="12" spans="1:6" ht="15" customHeight="1" x14ac:dyDescent="0.45">
      <c r="A12" s="1"/>
      <c r="B12" s="49" t="s">
        <v>236</v>
      </c>
      <c r="C12" s="9">
        <v>7613584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171109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2267300</v>
      </c>
      <c r="D14" s="14" t="s">
        <v>3</v>
      </c>
      <c r="E14" s="1"/>
      <c r="F14" s="1"/>
    </row>
    <row r="15" spans="1:6" x14ac:dyDescent="0.45">
      <c r="A15" s="1"/>
      <c r="B15" s="49" t="s">
        <v>239</v>
      </c>
      <c r="C15" s="9">
        <v>5500</v>
      </c>
      <c r="D15" s="14" t="s">
        <v>3</v>
      </c>
      <c r="E15" s="1"/>
      <c r="F15" s="1"/>
    </row>
    <row r="16" spans="1:6" x14ac:dyDescent="0.45">
      <c r="A16" s="1"/>
      <c r="B16" s="40" t="s">
        <v>169</v>
      </c>
      <c r="C16" s="12">
        <f>SUM(C10:C15)</f>
        <v>33558942</v>
      </c>
      <c r="D16" s="13" t="s">
        <v>3</v>
      </c>
      <c r="E16" s="1"/>
      <c r="F16" s="1"/>
    </row>
    <row r="17" spans="1:6" x14ac:dyDescent="0.45">
      <c r="A17" s="1"/>
      <c r="B17" s="40" t="s">
        <v>170</v>
      </c>
      <c r="C17" s="12">
        <f>C16*(1+'Fane 12. Nøgletal'!C13)^2</f>
        <v>34382775.097727284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45">
      <c r="A4" s="1"/>
      <c r="B4" s="92"/>
      <c r="C4" s="92"/>
      <c r="D4" s="92"/>
      <c r="E4" s="92"/>
      <c r="F4" s="9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-307896.02499999717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-628054.44152902067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-935950.46652901778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60793055.326171651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57871662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2921393.3261716515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60949563.273853868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59031472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1918091.2738538682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58753892.213792078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64389986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-5636093.7862079218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249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250</v>
      </c>
      <c r="C38" s="111"/>
      <c r="D38" s="112"/>
      <c r="E38" s="9">
        <v>1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-1732559.6527114199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-866279.82635570993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244</v>
      </c>
      <c r="C10" s="53" t="s">
        <v>245</v>
      </c>
      <c r="D10" s="9">
        <v>2075186.75</v>
      </c>
      <c r="E10" s="9">
        <f>IFERROR(D10/C10,0)</f>
        <v>27669.156666666666</v>
      </c>
      <c r="F10" s="9">
        <v>0</v>
      </c>
      <c r="G10" s="9">
        <v>33825.54</v>
      </c>
      <c r="H10" s="14" t="s">
        <v>3</v>
      </c>
      <c r="I10" s="1"/>
    </row>
    <row r="11" spans="1:9" ht="26.65" x14ac:dyDescent="0.45">
      <c r="A11" s="1"/>
      <c r="B11" s="52" t="s">
        <v>246</v>
      </c>
      <c r="C11" s="53" t="s">
        <v>245</v>
      </c>
      <c r="D11" s="9">
        <v>4203583.42</v>
      </c>
      <c r="E11" s="9">
        <f t="shared" ref="E11:E12" si="0">IFERROR(D11/C11,0)</f>
        <v>56047.778933333335</v>
      </c>
      <c r="F11" s="9">
        <v>0</v>
      </c>
      <c r="G11" s="9">
        <v>68518.41</v>
      </c>
      <c r="H11" s="14" t="s">
        <v>3</v>
      </c>
      <c r="I11" s="1"/>
    </row>
    <row r="12" spans="1:9" ht="26.65" x14ac:dyDescent="0.45">
      <c r="A12" s="1"/>
      <c r="B12" s="52" t="s">
        <v>247</v>
      </c>
      <c r="C12" s="53" t="s">
        <v>245</v>
      </c>
      <c r="D12" s="9">
        <v>159629.75</v>
      </c>
      <c r="E12" s="9">
        <f t="shared" si="0"/>
        <v>2128.3966666666665</v>
      </c>
      <c r="F12" s="9">
        <v>0</v>
      </c>
      <c r="G12" s="9">
        <v>2601.96</v>
      </c>
      <c r="H12" s="14" t="s">
        <v>3</v>
      </c>
      <c r="I12" s="1"/>
    </row>
    <row r="13" spans="1:9" ht="26.65" x14ac:dyDescent="0.45">
      <c r="A13" s="1"/>
      <c r="B13" s="52" t="s">
        <v>248</v>
      </c>
      <c r="C13" s="53" t="s">
        <v>245</v>
      </c>
      <c r="D13" s="9">
        <v>53209.919999999998</v>
      </c>
      <c r="E13" s="9">
        <f t="shared" ref="E13:E14" si="1">IFERROR(D13/C13,0)</f>
        <v>709.46559999999999</v>
      </c>
      <c r="F13" s="9">
        <v>0</v>
      </c>
      <c r="G13" s="9">
        <v>867.32</v>
      </c>
      <c r="H13" s="14" t="s">
        <v>3</v>
      </c>
      <c r="I13" s="1"/>
    </row>
    <row r="14" spans="1:9" ht="26.65" x14ac:dyDescent="0.45">
      <c r="A14" s="1"/>
      <c r="B14" s="52" t="s">
        <v>246</v>
      </c>
      <c r="C14" s="53" t="s">
        <v>245</v>
      </c>
      <c r="D14" s="9">
        <v>2100976.2999999998</v>
      </c>
      <c r="E14" s="9">
        <f t="shared" si="1"/>
        <v>28013.01733333333</v>
      </c>
      <c r="F14" s="9">
        <v>0</v>
      </c>
      <c r="G14" s="9">
        <v>34245.910000000003</v>
      </c>
      <c r="H14" s="14" t="s">
        <v>3</v>
      </c>
      <c r="I14" s="1"/>
    </row>
    <row r="15" spans="1:9" x14ac:dyDescent="0.45">
      <c r="A15" s="1"/>
      <c r="B15" s="96" t="s">
        <v>198</v>
      </c>
      <c r="C15" s="97"/>
      <c r="D15" s="98"/>
      <c r="E15" s="12">
        <f>SUM(E10:E14)</f>
        <v>114567.81519999998</v>
      </c>
      <c r="F15" s="12">
        <f t="shared" ref="F15:G15" si="2">SUM(F10:F14)</f>
        <v>0</v>
      </c>
      <c r="G15" s="12">
        <f t="shared" si="2"/>
        <v>140059.14000000001</v>
      </c>
      <c r="H15" s="13" t="s">
        <v>3</v>
      </c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Anlægsprojekter'!F15</f>
        <v>0</v>
      </c>
      <c r="D10" s="14" t="s">
        <v>3</v>
      </c>
      <c r="E10" s="9">
        <f>SUM('Fane 8. Anlægsprojekter'!E15,'Fane 8. Anlægsprojekter'!G15)</f>
        <v>254626.9552</v>
      </c>
      <c r="F10" s="14" t="s">
        <v>3</v>
      </c>
      <c r="G10" s="1"/>
    </row>
    <row r="11" spans="1:7" x14ac:dyDescent="0.45">
      <c r="A11" s="1"/>
      <c r="B11" s="54" t="s">
        <v>242</v>
      </c>
      <c r="C11" s="22">
        <v>36824</v>
      </c>
      <c r="D11" s="14" t="s">
        <v>3</v>
      </c>
      <c r="E11" s="9">
        <v>18920</v>
      </c>
      <c r="F11" s="14" t="s">
        <v>3</v>
      </c>
      <c r="G11" s="1"/>
    </row>
    <row r="12" spans="1:7" x14ac:dyDescent="0.45">
      <c r="A12" s="1"/>
      <c r="B12" s="40" t="s">
        <v>48</v>
      </c>
      <c r="C12" s="12">
        <f>SUM(C10:C11)</f>
        <v>36824</v>
      </c>
      <c r="D12" s="13" t="s">
        <v>3</v>
      </c>
      <c r="E12" s="12">
        <f>SUM(E10:E11)</f>
        <v>273546.95519999997</v>
      </c>
      <c r="F12" s="13" t="s">
        <v>3</v>
      </c>
      <c r="G12" s="1"/>
    </row>
    <row r="13" spans="1:7" x14ac:dyDescent="0.45">
      <c r="A13" s="1"/>
      <c r="B13" s="40" t="s">
        <v>173</v>
      </c>
      <c r="C13" s="12">
        <f>C12*(1+'Fane 12. Nøgletal'!C13)</f>
        <v>37273.252800000002</v>
      </c>
      <c r="D13" s="13" t="s">
        <v>3</v>
      </c>
      <c r="E13" s="12">
        <f>E12*(1+'Fane 12. Nøgletal'!C13)</f>
        <v>276884.22805343999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nl4A0FX6VSTdHkRqTmRT9hfW3Zwo+TFWDfooa8gRlnGsaZQAQcrae52mRar5p4pTm/Z4eJg/5zt4l/cgOtp8A==" saltValue="c9/Jwxnc2BkUQSC+7rto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9fdfKKNZpNtgJcJbKTZp2nkkEPxE2KtEdnkwZTJLZh1qzXm7kVzzo/RWVxuWZsOg5SK21IuAb4nOwfF0qBqviA==" saltValue="KZrQRBPsSHGr/WKy5/Ayr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2" t="s">
        <v>211</v>
      </c>
      <c r="C3" s="92"/>
      <c r="D3" s="1"/>
    </row>
    <row r="4" spans="1:4" ht="25.5" customHeight="1" x14ac:dyDescent="0.45">
      <c r="A4" s="1"/>
      <c r="B4" s="92"/>
      <c r="C4" s="9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28221115.72048831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37273.252800000002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276884.22805343999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348130.33305636933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-214455.43140555426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-304194.71174104954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-437040.31734122674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27927713.073910285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omk.'!C17</f>
        <v>34382775.097727284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-866279.82635570993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61444208.345281854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27927713.073910285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340718.0995017055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-209889.34338131201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-301747.76947980456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-430206.97345943796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27326587.087091438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omk.'!C17*(1+'Fane 12. Nøgletal'!C13)</f>
        <v>34802244.95391956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-866279.82635570993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61262552.214655288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27326587.087091438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333384.36246251559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-205371.61082193832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-299320.51042210904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-423480.47232591291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26731798.855983991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omk.'!C17*(1+'Fane 12. Nøgletal'!C13)^2</f>
        <v>35226832.342357375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61958631.19834137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26731798.855983991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326127.94604300469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-200901.50935148535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-296912.77623627358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-416859.14340086101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26143253.373038374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omk.'!C17*(1+'Fane 12. Nøgletal'!C13)^3</f>
        <v>35656599.696934134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251</v>
      </c>
      <c r="C22" s="12">
        <f>SUM(C15,C17,C21)</f>
        <v>61799853.069972508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45">
      <c r="A4" s="1"/>
      <c r="B4" s="92"/>
      <c r="C4" s="92"/>
      <c r="D4" s="92"/>
      <c r="E4" s="92"/>
      <c r="F4" s="9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3" t="s">
        <v>23</v>
      </c>
      <c r="C9" s="94"/>
      <c r="D9" s="95"/>
      <c r="E9" s="7">
        <v>28532230.157821752</v>
      </c>
      <c r="F9" s="8" t="s">
        <v>3</v>
      </c>
      <c r="G9" s="1"/>
    </row>
    <row r="10" spans="1:7" ht="15" customHeight="1" x14ac:dyDescent="0.45">
      <c r="A10" s="1"/>
      <c r="B10" s="78" t="s">
        <v>45</v>
      </c>
      <c r="C10" s="79"/>
      <c r="D10" s="80"/>
      <c r="E10" s="7">
        <v>98295.001199999999</v>
      </c>
      <c r="F10" s="8" t="s">
        <v>3</v>
      </c>
      <c r="G10" s="1"/>
    </row>
    <row r="11" spans="1:7" ht="15" customHeight="1" x14ac:dyDescent="0.45">
      <c r="A11" s="1"/>
      <c r="B11" s="78" t="s">
        <v>46</v>
      </c>
      <c r="C11" s="79"/>
      <c r="D11" s="80"/>
      <c r="E11" s="9">
        <v>4141.0016999999998</v>
      </c>
      <c r="F11" s="8" t="s">
        <v>3</v>
      </c>
      <c r="G11" s="1"/>
    </row>
    <row r="12" spans="1:7" x14ac:dyDescent="0.4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4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4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4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45">
      <c r="A16" s="1"/>
      <c r="B16" s="78" t="s">
        <v>18</v>
      </c>
      <c r="C16" s="79"/>
      <c r="D16" s="80"/>
      <c r="E16" s="9">
        <f>E9*'Fane 12. Nøgletal'!C11+SUM(E10:E15)*'Fane 12. Nøgletal'!C12</f>
        <v>484212.67892431759</v>
      </c>
      <c r="F16" s="8" t="s">
        <v>3</v>
      </c>
      <c r="G16" s="1"/>
    </row>
    <row r="17" spans="1:7" x14ac:dyDescent="0.45">
      <c r="A17" s="1"/>
      <c r="B17" s="78" t="s">
        <v>9</v>
      </c>
      <c r="C17" s="79"/>
      <c r="D17" s="80"/>
      <c r="E17" s="9">
        <f>-SUM(E9:E16)*'Fane 5. Individuelt eff. krav'!G9</f>
        <v>-456412.41648465279</v>
      </c>
      <c r="F17" s="8" t="s">
        <v>3</v>
      </c>
      <c r="G17" s="1"/>
    </row>
    <row r="18" spans="1:7" x14ac:dyDescent="0.45">
      <c r="A18" s="1"/>
      <c r="B18" s="78" t="s">
        <v>27</v>
      </c>
      <c r="C18" s="79"/>
      <c r="D18" s="80"/>
      <c r="E18" s="9">
        <f>-'Fane 4.1. Gen. krav - drift'!G25</f>
        <v>-305900.81819291011</v>
      </c>
      <c r="F18" s="8" t="s">
        <v>3</v>
      </c>
      <c r="G18" s="1"/>
    </row>
    <row r="19" spans="1:7" x14ac:dyDescent="0.45">
      <c r="A19" s="1"/>
      <c r="B19" s="78" t="s">
        <v>28</v>
      </c>
      <c r="C19" s="79"/>
      <c r="D19" s="80"/>
      <c r="E19" s="9">
        <f>-'Fane 4.2. Gen. krav - anlæg'!G25</f>
        <v>-135449.8844801964</v>
      </c>
      <c r="F19" s="8" t="s">
        <v>3</v>
      </c>
      <c r="G19" s="1"/>
    </row>
    <row r="20" spans="1:7" x14ac:dyDescent="0.45">
      <c r="A20" s="1"/>
      <c r="B20" s="81" t="s">
        <v>20</v>
      </c>
      <c r="C20" s="82"/>
      <c r="D20" s="83"/>
      <c r="E20" s="10">
        <f>SUM(E9:E19)</f>
        <v>28221115.72048831</v>
      </c>
      <c r="F20" s="11" t="s">
        <v>3</v>
      </c>
      <c r="G20" s="1"/>
    </row>
    <row r="21" spans="1:7" x14ac:dyDescent="0.45">
      <c r="A21" s="1"/>
      <c r="B21" s="90" t="s">
        <v>12</v>
      </c>
      <c r="C21" s="91"/>
      <c r="D21" s="91"/>
      <c r="E21" s="41"/>
      <c r="F21" s="20"/>
      <c r="G21" s="1"/>
    </row>
    <row r="22" spans="1:7" x14ac:dyDescent="0.45">
      <c r="A22" s="1"/>
      <c r="B22" s="84" t="s">
        <v>12</v>
      </c>
      <c r="C22" s="85"/>
      <c r="D22" s="86"/>
      <c r="E22" s="10">
        <v>32118614.269737933</v>
      </c>
      <c r="F22" s="11" t="s">
        <v>3</v>
      </c>
      <c r="G22" s="1"/>
    </row>
    <row r="23" spans="1:7" ht="15" customHeight="1" x14ac:dyDescent="0.4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4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4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4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7" t="s">
        <v>229</v>
      </c>
      <c r="C28" s="88"/>
      <c r="D28" s="89"/>
      <c r="E28" s="10">
        <v>-376286.62169312174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7" t="s">
        <v>231</v>
      </c>
      <c r="C30" s="88"/>
      <c r="D30" s="89"/>
      <c r="E30" s="10">
        <v>0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59963443.36853312</v>
      </c>
      <c r="F33" s="13" t="s">
        <v>3</v>
      </c>
      <c r="G33" s="1"/>
    </row>
    <row r="34" spans="1:7" ht="28.15" customHeight="1" x14ac:dyDescent="0.45">
      <c r="A34" s="1"/>
      <c r="B34" s="75" t="s">
        <v>179</v>
      </c>
      <c r="C34" s="76"/>
      <c r="D34" s="76"/>
      <c r="E34" s="76"/>
      <c r="F34" s="77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15738902.464875489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314778.04929750977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15620010.795655819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312400.21591311641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15566309.198540352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-319079.72669427894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304944.58943692147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15194809.496921865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100231.41272364001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305900.81819291011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15172007.600568317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37727.986484159999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304194.71174104954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15087388.473990228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301747.76947980456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14966025.521105452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299320.51042210904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14845638.811813679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296912.77623627358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15496287.087623827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141016.21249737684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15550282.815240556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141507.57361868906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15669183.543205274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-309900.20554507722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71620.245411890923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134248.86117272716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15555168.186699459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4222.5794334900002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135449.8844801964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15612112.960408915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280262.21563569194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437040.31734122674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15643889.943979561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430206.97345943796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15399289.902760468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423480.47232591291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15158514.305485856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416859.14340086101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1.5674106788178811E-2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7.4248670573103621E-3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2020-10-20T08:09:45Z</dcterms:modified>
</cp:coreProperties>
</file>