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reve Vandværk a.m.b.a. (V06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9" i="32" l="1"/>
  <c r="E11" i="11" l="1"/>
  <c r="E12" i="11"/>
  <c r="C15" i="19" l="1"/>
  <c r="E41" i="32" l="1"/>
  <c r="E33" i="32" l="1"/>
  <c r="E16" i="27" l="1"/>
  <c r="E13" i="11" l="1"/>
  <c r="E14" i="1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9" i="2"/>
  <c r="F15" i="11"/>
  <c r="C10" i="37" s="1"/>
  <c r="C12" i="37" s="1"/>
  <c r="G15" i="11"/>
  <c r="C13" i="37" l="1"/>
  <c r="C11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5" i="2"/>
  <c r="C16" i="2"/>
  <c r="C23" i="2"/>
  <c r="C14" i="2"/>
  <c r="C13" i="2"/>
  <c r="G30" i="30" l="1"/>
  <c r="G29" i="30" l="1"/>
  <c r="E18" i="27"/>
  <c r="G31" i="30" l="1"/>
  <c r="E15" i="11"/>
  <c r="E10" i="37" s="1"/>
  <c r="E12" i="37" s="1"/>
  <c r="G35" i="30" l="1"/>
  <c r="G37" i="30" s="1"/>
  <c r="C19" i="2"/>
  <c r="E13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7" i="2"/>
  <c r="C18" i="2" s="1"/>
  <c r="C21" i="2" s="1"/>
  <c r="C32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<sst xmlns="http://schemas.openxmlformats.org/spreadsheetml/2006/main" count="609" uniqueCount="259">
  <si>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</si>
  <si>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</si>
  <si>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</si>
  <si>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</si>
  <si>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</si>
  <si>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</si>
  <si>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</si>
  <si>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</si>
  <si>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</si>
  <si>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</si>
  <si>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</si>
  <si>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</si>
  <si>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</si>
  <si>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</si>
  <si>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</si>
  <si>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</si>
  <si>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</si>
  <si>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</si>
  <si>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</si>
  <si>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</si>
  <si>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</si>
  <si>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</si>
  <si>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</si>
  <si>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</si>
  <si>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</si>
  <si>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</si>
  <si>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</si>
  <si>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</si>
  <si>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</si>
  <si>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</si>
  <si>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</si>
  <si>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</si>
  <si>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</si>
  <si>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</si>
  <si>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</si>
  <si>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</si>
  <si>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</si>
  <si>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</si>
  <si>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</si>
  <si>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</si>
  <si>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</si>
  <si>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</si>
  <si>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</si>
  <si>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</si>
  <si>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</si>
  <si>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</si>
  <si>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</si>
  <si>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</si>
  <si>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</si>
  <si>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</si>
  <si>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</si>
  <si>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</si>
  <si>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</si>
  <si>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</si>
  <si>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</si>
  <si>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</si>
  <si>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</si>
  <si>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</si>
  <si>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</si>
  <si>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</si>
  <si>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</si>
  <si>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</si>
  <si>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</si>
  <si>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</si>
  <si>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</si>
  <si>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</si>
  <si>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</si>
  <si>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</si>
  <si>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</si>
  <si>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</si>
  <si>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</si>
  <si>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</si>
  <si>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</si>
  <si>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</si>
  <si>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</si>
  <si>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</si>
  <si>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</si>
  <si>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</si>
  <si>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</si>
  <si>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</si>
  <si>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</si>
  <si>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</si>
  <si>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</si>
  <si>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</si>
  <si>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</si>
  <si>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</si>
  <si>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</si>
  <si>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</si>
  <si>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</si>
  <si>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</si>
  <si>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</si>
  <si>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</si>
  <si>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</si>
  <si>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</si>
  <si>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</si>
  <si>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</si>
  <si>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</si>
  <si>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</si>
  <si>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</si>
  <si>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</si>
  <si>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</si>
  <si>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</si>
  <si>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</si>
  <si>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</si>
  <si>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</si>
  <si>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</si>
  <si>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</si>
  <si>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</si>
  <si>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</si>
  <si>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</si>
  <si>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</si>
  <si>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</si>
  <si>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</si>
  <si>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</si>
  <si>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</si>
  <si>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</si>
  <si>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</si>
  <si>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</si>
  <si>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</si>
  <si>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</si>
  <si>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</si>
  <si>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</si>
  <si>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</si>
  <si>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</si>
  <si>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</si>
  <si>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</si>
  <si>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</si>
  <si>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</si>
  <si>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</si>
  <si>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</si>
  <si>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</si>
  <si>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</si>
  <si>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</si>
  <si>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</si>
  <si>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</si>
  <si>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</si>
  <si>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</si>
  <si>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</si>
  <si>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</si>
  <si>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</si>
  <si>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</si>
  <si>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</si>
  <si>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</si>
  <si>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</si>
  <si>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</si>
  <si>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</si>
  <si>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</si>
  <si>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</si>
  <si>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</si>
  <si>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</si>
  <si>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</si>
  <si>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</si>
  <si>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</si>
  <si>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</si>
  <si>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</si>
  <si>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</si>
  <si>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</si>
  <si>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</si>
  <si>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</si>
  <si>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</si>
  <si>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</si>
  <si>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</si>
  <si>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</si>
  <si>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</si>
  <si>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</si>
  <si>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</si>
  <si>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</si>
  <si>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</si>
  <si>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</si>
  <si>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</si>
  <si>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</si>
  <si>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</si>
  <si>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</si>
  <si>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</si>
  <si>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</si>
  <si>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</si>
  <si>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</si>
  <si>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</si>
  <si>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</si>
  <si>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</si>
  <si>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</si>
  <si>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</si>
  <si>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</si>
  <si>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</si>
  <si>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</si>
  <si>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</si>
  <si>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</si>
  <si>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</si>
  <si>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</si>
  <si>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</si>
  <si>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</si>
  <si>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</si>
  <si>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</si>
  <si>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</si>
  <si>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</si>
  <si>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</si>
  <si>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</si>
  <si>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</si>
  <si>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</si>
  <si>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</si>
  <si>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</si>
  <si>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</si>
  <si>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</si>
  <si>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</si>
  <si>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</si>
  <si>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</si>
  <si>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</si>
  <si>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</si>
  <si>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</si>
  <si>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</si>
  <si>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</si>
  <si>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</si>
  <si>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</si>
  <si>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</si>
  <si>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</si>
  <si>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</si>
  <si>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</si>
  <si>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</si>
  <si>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</si>
  <si>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</si>
  <si>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</si>
  <si>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</si>
  <si>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</si>
  <si>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</si>
  <si>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</si>
  <si>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</si>
  <si>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</si>
  <si>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</si>
  <si>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</si>
  <si>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</si>
  <si>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</si>
  <si>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</si>
  <si>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</si>
  <si>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</si>
  <si>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</si>
  <si>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</si>
  <si>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</si>
  <si>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Selskabsskatter</t>
  </si>
  <si>
    <t>Ingen tilknyttet virksomhed</t>
  </si>
  <si>
    <t>Ingen bortfald eller nedsættelse</t>
  </si>
  <si>
    <t xml:space="preserve">Udvidelse af forsyningsområde </t>
  </si>
  <si>
    <t xml:space="preserve">Ingen engangstillæg </t>
  </si>
  <si>
    <t>Økonomisk ramme for 2024</t>
  </si>
  <si>
    <t>Investeringsomkostninger til erstatninger</t>
  </si>
  <si>
    <t>Korrektion af tidligere rammer</t>
  </si>
  <si>
    <t>Engangskorrektion vedrørende erstatninger</t>
  </si>
  <si>
    <t>Justering vedrørende erstatninger</t>
  </si>
  <si>
    <t>Boring (inkl. etablering, forerør, filter og prøvepumpning)</t>
  </si>
  <si>
    <t>30</t>
  </si>
  <si>
    <t>Ø 50mm &lt; Ledningsnet ≤ Ø110 mm</t>
  </si>
  <si>
    <t>75</t>
  </si>
  <si>
    <t>Elanlæg - vandværk</t>
  </si>
  <si>
    <t>25</t>
  </si>
  <si>
    <t>Afregningsmålere, elektroniske, maksimal gennemstrømning &gt; 15 m3/t ≤ 300 m3/t</t>
  </si>
  <si>
    <t>10</t>
  </si>
  <si>
    <t>SRO-brønd/kvarterbrønd/sektionsbrønd, Mek./EL</t>
  </si>
  <si>
    <t>15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</si>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</sst>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4" t="s">
        <v>206</v>
      </c>
      <c r="E8" s="64"/>
      <c r="F8" s="64"/>
      <c r="G8" s="6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3" t="s">
        <v>5</v>
      </c>
      <c r="E11" s="63"/>
      <c r="F11" s="63"/>
      <c r="G11" s="6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151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15</v>
      </c>
      <c r="D14" s="56" t="s">
        <v>207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40</v>
      </c>
      <c r="D15" s="56" t="s">
        <v>93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41</v>
      </c>
      <c r="D16" s="56" t="s">
        <v>152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150</v>
      </c>
      <c r="D17" s="56" t="s">
        <v>153</v>
      </c>
      <c r="E17" s="57"/>
      <c r="F17" s="57"/>
      <c r="G17" s="58"/>
      <c r="H17" s="1"/>
      <c r="I17" s="1"/>
    </row>
    <row r="18" spans="1:9" x14ac:dyDescent="0.25">
      <c r="A18" s="1"/>
      <c r="B18" s="1"/>
      <c r="C18" s="33" t="s">
        <v>134</v>
      </c>
      <c r="D18" s="65" t="s">
        <v>114</v>
      </c>
      <c r="E18" s="66"/>
      <c r="F18" s="66"/>
      <c r="G18" s="67"/>
      <c r="H18" s="1"/>
      <c r="I18" s="1"/>
    </row>
    <row r="19" spans="1:9" x14ac:dyDescent="0.25">
      <c r="A19" s="1"/>
      <c r="B19" s="1"/>
      <c r="C19" s="33" t="s">
        <v>135</v>
      </c>
      <c r="D19" s="65" t="s">
        <v>115</v>
      </c>
      <c r="E19" s="66"/>
      <c r="F19" s="66"/>
      <c r="G19" s="67"/>
      <c r="H19" s="1"/>
      <c r="I19" s="1"/>
    </row>
    <row r="20" spans="1:9" x14ac:dyDescent="0.25">
      <c r="A20" s="1"/>
      <c r="B20" s="1"/>
      <c r="C20" s="33" t="s">
        <v>7</v>
      </c>
      <c r="D20" s="65" t="s">
        <v>9</v>
      </c>
      <c r="E20" s="66"/>
      <c r="F20" s="66"/>
      <c r="G20" s="67"/>
      <c r="H20" s="1"/>
      <c r="I20" s="1"/>
    </row>
    <row r="21" spans="1:9" x14ac:dyDescent="0.25">
      <c r="A21" s="1"/>
      <c r="B21" s="1"/>
      <c r="C21" s="6" t="s">
        <v>136</v>
      </c>
      <c r="D21" s="71" t="s">
        <v>12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97</v>
      </c>
      <c r="D22" s="60" t="s">
        <v>154</v>
      </c>
      <c r="E22" s="61"/>
      <c r="F22" s="61"/>
      <c r="G22" s="62"/>
      <c r="H22" s="1"/>
      <c r="I22" s="1"/>
    </row>
    <row r="23" spans="1:9" x14ac:dyDescent="0.25">
      <c r="A23" s="1"/>
      <c r="B23" s="1"/>
      <c r="C23" s="6" t="s">
        <v>8</v>
      </c>
      <c r="D23" s="60" t="s">
        <v>42</v>
      </c>
      <c r="E23" s="61"/>
      <c r="F23" s="61"/>
      <c r="G23" s="62"/>
      <c r="H23" s="1"/>
      <c r="I23" s="1"/>
    </row>
    <row r="24" spans="1:9" x14ac:dyDescent="0.25">
      <c r="A24" s="1"/>
      <c r="B24" s="1"/>
      <c r="C24" s="6" t="s">
        <v>217</v>
      </c>
      <c r="D24" s="60" t="s">
        <v>98</v>
      </c>
      <c r="E24" s="61"/>
      <c r="F24" s="61"/>
      <c r="G24" s="62"/>
      <c r="H24" s="1"/>
      <c r="I24" s="1"/>
    </row>
    <row r="25" spans="1:9" x14ac:dyDescent="0.25">
      <c r="A25" s="1"/>
      <c r="B25" s="1"/>
      <c r="C25" s="6" t="s">
        <v>218</v>
      </c>
      <c r="D25" s="60" t="s">
        <v>99</v>
      </c>
      <c r="E25" s="61"/>
      <c r="F25" s="61"/>
      <c r="G25" s="62"/>
      <c r="H25" s="1"/>
      <c r="I25" s="1"/>
    </row>
    <row r="26" spans="1:9" x14ac:dyDescent="0.25">
      <c r="A26" s="1"/>
      <c r="B26" s="1"/>
      <c r="C26" s="6" t="s">
        <v>219</v>
      </c>
      <c r="D26" s="60" t="s">
        <v>155</v>
      </c>
      <c r="E26" s="61"/>
      <c r="F26" s="61"/>
      <c r="G26" s="62"/>
      <c r="H26" s="1"/>
      <c r="I26" s="1"/>
    </row>
    <row r="27" spans="1:9" x14ac:dyDescent="0.25">
      <c r="A27" s="1"/>
      <c r="B27" s="1"/>
      <c r="C27" s="6" t="s">
        <v>137</v>
      </c>
      <c r="D27" s="60" t="s">
        <v>43</v>
      </c>
      <c r="E27" s="61"/>
      <c r="F27" s="61"/>
      <c r="G27" s="62"/>
      <c r="H27" s="1"/>
      <c r="I27" s="1"/>
    </row>
    <row r="28" spans="1:9" x14ac:dyDescent="0.25">
      <c r="A28" s="1"/>
      <c r="B28" s="1"/>
      <c r="C28" s="6" t="s">
        <v>128</v>
      </c>
      <c r="D28" s="68" t="s">
        <v>129</v>
      </c>
      <c r="E28" s="69"/>
      <c r="F28" s="69"/>
      <c r="G28" s="70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EJVZHUqGp7i6up9GDeh1zm6mayy9+QY8LAwUnweEsWLmuSOY2Ay/NL/qeA6x8OgkL1AUCYDFK5a1fwVizjkZQ==" saltValue="fpYIRH/MYi8kmJC9JdDE6Q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4" t="s">
        <v>140</v>
      </c>
      <c r="C3" s="74"/>
      <c r="D3" s="74"/>
      <c r="E3" s="1"/>
      <c r="F3" s="1"/>
    </row>
    <row r="4" spans="1:6" ht="15" customHeight="1" x14ac:dyDescent="0.25">
      <c r="A4" s="1"/>
      <c r="B4" s="74"/>
      <c r="C4" s="74"/>
      <c r="D4" s="7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7" t="s">
        <v>168</v>
      </c>
      <c r="C8" s="98"/>
      <c r="D8" s="99"/>
      <c r="E8" s="1"/>
      <c r="F8" s="1"/>
    </row>
    <row r="9" spans="1:6" ht="15" customHeight="1" x14ac:dyDescent="0.25">
      <c r="A9" s="1"/>
      <c r="B9" s="50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53" t="s">
        <v>234</v>
      </c>
      <c r="C10" s="9">
        <v>10962164</v>
      </c>
      <c r="D10" s="14" t="s">
        <v>3</v>
      </c>
      <c r="E10" s="1"/>
      <c r="F10" s="1"/>
    </row>
    <row r="11" spans="1:6" x14ac:dyDescent="0.25">
      <c r="A11" s="1"/>
      <c r="B11" s="53" t="s">
        <v>235</v>
      </c>
      <c r="C11" s="9">
        <v>74549</v>
      </c>
      <c r="D11" s="14" t="s">
        <v>3</v>
      </c>
      <c r="E11" s="1"/>
      <c r="F11" s="1"/>
    </row>
    <row r="12" spans="1:6" x14ac:dyDescent="0.25">
      <c r="A12" s="1"/>
      <c r="B12" s="53" t="s">
        <v>236</v>
      </c>
      <c r="C12" s="9">
        <v>160808</v>
      </c>
      <c r="D12" s="14" t="s">
        <v>3</v>
      </c>
      <c r="E12" s="1"/>
      <c r="F12" s="1"/>
    </row>
    <row r="13" spans="1:6" x14ac:dyDescent="0.25">
      <c r="A13" s="1"/>
      <c r="B13" s="53" t="s">
        <v>237</v>
      </c>
      <c r="C13" s="9">
        <v>212000</v>
      </c>
      <c r="D13" s="14" t="s">
        <v>3</v>
      </c>
      <c r="E13" s="1"/>
      <c r="F13" s="1"/>
    </row>
    <row r="14" spans="1:6" x14ac:dyDescent="0.25">
      <c r="A14" s="1"/>
      <c r="B14" s="49" t="s">
        <v>246</v>
      </c>
      <c r="C14" s="9">
        <v>569757.6519163223</v>
      </c>
      <c r="D14" s="14" t="s">
        <v>3</v>
      </c>
      <c r="E14" s="1"/>
      <c r="F14" s="1"/>
    </row>
    <row r="15" spans="1:6" x14ac:dyDescent="0.25">
      <c r="A15" s="1"/>
      <c r="B15" s="44" t="s">
        <v>169</v>
      </c>
      <c r="C15" s="12">
        <f>SUM(C10:C14)</f>
        <v>11979278.651916321</v>
      </c>
      <c r="D15" s="13" t="s">
        <v>3</v>
      </c>
      <c r="E15" s="1"/>
      <c r="F15" s="1"/>
    </row>
    <row r="16" spans="1:6" x14ac:dyDescent="0.25">
      <c r="A16" s="1"/>
      <c r="B16" s="44" t="s">
        <v>170</v>
      </c>
      <c r="C16" s="12">
        <f>C15*(1+'Fane 12. Nøgletal'!C13)^2</f>
        <v>12273356.046857631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KMXYRPcwDuE+/NzUeQH3yRWjhdojJBUeZsy4NFodfGUcLA0OWUzS8/nR+DeSCyn4rljTVj7sH2frNa9Rrdfd2Q==" saltValue="x4EN0FvDwyTRu8eOTaygm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172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8"/>
      <c r="C5" s="48"/>
      <c r="D5" s="48"/>
      <c r="E5" s="48"/>
      <c r="F5" s="48"/>
      <c r="G5" s="1"/>
    </row>
    <row r="6" spans="1:7" ht="15" customHeight="1" x14ac:dyDescent="0.25">
      <c r="A6" s="1"/>
      <c r="B6" s="97" t="s">
        <v>39</v>
      </c>
      <c r="C6" s="98"/>
      <c r="D6" s="98"/>
      <c r="E6" s="98"/>
      <c r="F6" s="99"/>
      <c r="G6" s="1"/>
    </row>
    <row r="7" spans="1:7" ht="15" customHeight="1" x14ac:dyDescent="0.25">
      <c r="A7" s="1"/>
      <c r="B7" s="100" t="s">
        <v>37</v>
      </c>
      <c r="C7" s="101"/>
      <c r="D7" s="102"/>
      <c r="E7" s="9">
        <v>-141234.47500000021</v>
      </c>
      <c r="F7" s="14" t="s">
        <v>3</v>
      </c>
      <c r="G7" s="1"/>
    </row>
    <row r="8" spans="1:7" ht="15" customHeight="1" x14ac:dyDescent="0.25">
      <c r="A8" s="1"/>
      <c r="B8" s="100" t="s">
        <v>38</v>
      </c>
      <c r="C8" s="101"/>
      <c r="D8" s="102"/>
      <c r="E8" s="9">
        <v>1123453.130066365</v>
      </c>
      <c r="F8" s="14" t="s">
        <v>3</v>
      </c>
      <c r="G8" s="1"/>
    </row>
    <row r="9" spans="1:7" ht="15" customHeight="1" x14ac:dyDescent="0.25">
      <c r="A9" s="1"/>
      <c r="B9" s="108" t="s">
        <v>131</v>
      </c>
      <c r="C9" s="109"/>
      <c r="D9" s="110"/>
      <c r="E9" s="10">
        <f>SUM(E7:E8)</f>
        <v>982218.65506636479</v>
      </c>
      <c r="F9" s="17" t="s">
        <v>3</v>
      </c>
      <c r="G9" s="1"/>
    </row>
    <row r="10" spans="1:7" ht="15" customHeight="1" x14ac:dyDescent="0.25">
      <c r="A10" s="1"/>
      <c r="B10" s="44"/>
      <c r="C10" s="45"/>
      <c r="D10" s="45"/>
      <c r="E10" s="45"/>
      <c r="F10" s="20"/>
      <c r="G10" s="1"/>
    </row>
    <row r="11" spans="1:7" ht="28.5" customHeight="1" x14ac:dyDescent="0.25">
      <c r="A11" s="1"/>
      <c r="B11" s="76" t="s">
        <v>132</v>
      </c>
      <c r="C11" s="77"/>
      <c r="D11" s="77"/>
      <c r="E11" s="77"/>
      <c r="F11" s="78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7" t="s">
        <v>116</v>
      </c>
      <c r="C13" s="98"/>
      <c r="D13" s="98"/>
      <c r="E13" s="98"/>
      <c r="F13" s="99"/>
      <c r="G13" s="1"/>
    </row>
    <row r="14" spans="1:7" x14ac:dyDescent="0.25">
      <c r="A14" s="1"/>
      <c r="B14" s="100" t="s">
        <v>117</v>
      </c>
      <c r="C14" s="101"/>
      <c r="D14" s="102"/>
      <c r="E14" s="9">
        <v>32720546.240474392</v>
      </c>
      <c r="F14" s="14" t="s">
        <v>3</v>
      </c>
      <c r="G14" s="1"/>
    </row>
    <row r="15" spans="1:7" x14ac:dyDescent="0.25">
      <c r="A15" s="1"/>
      <c r="B15" s="100" t="s">
        <v>118</v>
      </c>
      <c r="C15" s="101"/>
      <c r="D15" s="102"/>
      <c r="E15" s="9">
        <v>34523920</v>
      </c>
      <c r="F15" s="14" t="s">
        <v>3</v>
      </c>
      <c r="G15" s="1"/>
    </row>
    <row r="16" spans="1:7" x14ac:dyDescent="0.25">
      <c r="A16" s="1"/>
      <c r="B16" s="100" t="s">
        <v>36</v>
      </c>
      <c r="C16" s="101"/>
      <c r="D16" s="102"/>
      <c r="E16" s="9">
        <v>82500</v>
      </c>
      <c r="F16" s="14" t="s">
        <v>3</v>
      </c>
      <c r="G16" s="1"/>
    </row>
    <row r="17" spans="1:7" x14ac:dyDescent="0.25">
      <c r="A17" s="1"/>
      <c r="B17" s="108" t="s">
        <v>208</v>
      </c>
      <c r="C17" s="109"/>
      <c r="D17" s="110"/>
      <c r="E17" s="10">
        <f>E14-(E15-E16)</f>
        <v>-1720873.7595256083</v>
      </c>
      <c r="F17" s="17" t="s">
        <v>3</v>
      </c>
      <c r="G17" s="1"/>
    </row>
    <row r="18" spans="1:7" x14ac:dyDescent="0.25">
      <c r="A18" s="1"/>
      <c r="B18" s="44"/>
      <c r="C18" s="45"/>
      <c r="D18" s="45"/>
      <c r="E18" s="45"/>
      <c r="F18" s="20"/>
      <c r="G18" s="1"/>
    </row>
    <row r="19" spans="1:7" ht="30" customHeight="1" x14ac:dyDescent="0.25">
      <c r="A19" s="1"/>
      <c r="B19" s="76" t="s">
        <v>133</v>
      </c>
      <c r="C19" s="77"/>
      <c r="D19" s="77"/>
      <c r="E19" s="77"/>
      <c r="F19" s="78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7" t="s">
        <v>50</v>
      </c>
      <c r="C21" s="98"/>
      <c r="D21" s="98"/>
      <c r="E21" s="98"/>
      <c r="F21" s="99"/>
      <c r="G21" s="1"/>
    </row>
    <row r="22" spans="1:7" x14ac:dyDescent="0.25">
      <c r="A22" s="1"/>
      <c r="B22" s="100" t="s">
        <v>51</v>
      </c>
      <c r="C22" s="101"/>
      <c r="D22" s="102"/>
      <c r="E22" s="9">
        <v>33782988.510859184</v>
      </c>
      <c r="F22" s="14" t="s">
        <v>3</v>
      </c>
      <c r="G22" s="1"/>
    </row>
    <row r="23" spans="1:7" x14ac:dyDescent="0.25">
      <c r="A23" s="1"/>
      <c r="B23" s="100" t="s">
        <v>52</v>
      </c>
      <c r="C23" s="101"/>
      <c r="D23" s="102"/>
      <c r="E23" s="9">
        <v>33183650</v>
      </c>
      <c r="F23" s="14" t="s">
        <v>3</v>
      </c>
      <c r="G23" s="1"/>
    </row>
    <row r="24" spans="1:7" x14ac:dyDescent="0.25">
      <c r="A24" s="1"/>
      <c r="B24" s="100" t="s">
        <v>36</v>
      </c>
      <c r="C24" s="101"/>
      <c r="D24" s="102"/>
      <c r="E24" s="9">
        <v>320000</v>
      </c>
      <c r="F24" s="14" t="s">
        <v>3</v>
      </c>
      <c r="G24" s="1"/>
    </row>
    <row r="25" spans="1:7" x14ac:dyDescent="0.25">
      <c r="A25" s="1"/>
      <c r="B25" s="108" t="s">
        <v>209</v>
      </c>
      <c r="C25" s="109"/>
      <c r="D25" s="110"/>
      <c r="E25" s="10">
        <f>E22-(E23-E24)</f>
        <v>919338.51085918397</v>
      </c>
      <c r="F25" s="17" t="s">
        <v>3</v>
      </c>
      <c r="G25" s="1"/>
    </row>
    <row r="26" spans="1:7" x14ac:dyDescent="0.25">
      <c r="A26" s="1"/>
      <c r="B26" s="44"/>
      <c r="C26" s="45"/>
      <c r="D26" s="45"/>
      <c r="E26" s="45"/>
      <c r="F26" s="20"/>
      <c r="G26" s="1"/>
    </row>
    <row r="27" spans="1:7" ht="28.5" customHeight="1" x14ac:dyDescent="0.25">
      <c r="A27" s="1"/>
      <c r="B27" s="76" t="s">
        <v>179</v>
      </c>
      <c r="C27" s="77"/>
      <c r="D27" s="77"/>
      <c r="E27" s="77"/>
      <c r="F27" s="78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7" t="s">
        <v>200</v>
      </c>
      <c r="C29" s="98"/>
      <c r="D29" s="98"/>
      <c r="E29" s="98"/>
      <c r="F29" s="99"/>
      <c r="G29" s="1"/>
    </row>
    <row r="30" spans="1:7" x14ac:dyDescent="0.25">
      <c r="A30" s="1"/>
      <c r="B30" s="100" t="s">
        <v>201</v>
      </c>
      <c r="C30" s="101"/>
      <c r="D30" s="102"/>
      <c r="E30" s="9">
        <v>32683525.695877522</v>
      </c>
      <c r="F30" s="14" t="s">
        <v>3</v>
      </c>
      <c r="G30" s="1"/>
    </row>
    <row r="31" spans="1:7" x14ac:dyDescent="0.25">
      <c r="A31" s="1"/>
      <c r="B31" s="100" t="s">
        <v>202</v>
      </c>
      <c r="C31" s="101"/>
      <c r="D31" s="102"/>
      <c r="E31" s="9">
        <v>34576910</v>
      </c>
      <c r="F31" s="14" t="s">
        <v>3</v>
      </c>
      <c r="G31" s="1"/>
    </row>
    <row r="32" spans="1:7" x14ac:dyDescent="0.25">
      <c r="A32" s="1"/>
      <c r="B32" s="100" t="s">
        <v>36</v>
      </c>
      <c r="C32" s="101"/>
      <c r="D32" s="102"/>
      <c r="E32" s="9">
        <v>0</v>
      </c>
      <c r="F32" s="14" t="s">
        <v>3</v>
      </c>
      <c r="G32" s="1"/>
    </row>
    <row r="33" spans="1:7" x14ac:dyDescent="0.25">
      <c r="A33" s="1"/>
      <c r="B33" s="108" t="s">
        <v>210</v>
      </c>
      <c r="C33" s="109"/>
      <c r="D33" s="110"/>
      <c r="E33" s="10">
        <f>E30-(E31-E32)</f>
        <v>-1893384.3041224778</v>
      </c>
      <c r="F33" s="17" t="s">
        <v>3</v>
      </c>
      <c r="G33" s="1"/>
    </row>
    <row r="34" spans="1:7" x14ac:dyDescent="0.25">
      <c r="A34" s="1"/>
      <c r="B34" s="44"/>
      <c r="C34" s="45"/>
      <c r="D34" s="45"/>
      <c r="E34" s="45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7" t="s">
        <v>125</v>
      </c>
      <c r="C36" s="98"/>
      <c r="D36" s="98"/>
      <c r="E36" s="98"/>
      <c r="F36" s="99"/>
      <c r="G36" s="1"/>
    </row>
    <row r="37" spans="1:7" x14ac:dyDescent="0.25">
      <c r="A37" s="1"/>
      <c r="B37" s="111" t="s">
        <v>257</v>
      </c>
      <c r="C37" s="112"/>
      <c r="D37" s="113"/>
      <c r="E37" s="9">
        <v>0</v>
      </c>
      <c r="F37" s="14"/>
      <c r="G37" s="1"/>
    </row>
    <row r="38" spans="1:7" x14ac:dyDescent="0.25">
      <c r="A38" s="1"/>
      <c r="B38" s="111" t="s">
        <v>258</v>
      </c>
      <c r="C38" s="112"/>
      <c r="D38" s="113"/>
      <c r="E38" s="9">
        <v>1</v>
      </c>
      <c r="F38" s="14"/>
      <c r="G38" s="1"/>
    </row>
    <row r="39" spans="1:7" x14ac:dyDescent="0.25">
      <c r="A39" s="1"/>
      <c r="B39" s="111" t="s">
        <v>113</v>
      </c>
      <c r="C39" s="112"/>
      <c r="D39" s="113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-1712700.8977225372</v>
      </c>
      <c r="F39" s="14" t="s">
        <v>3</v>
      </c>
      <c r="G39" s="1"/>
    </row>
    <row r="40" spans="1:7" x14ac:dyDescent="0.25">
      <c r="A40" s="1"/>
      <c r="B40" s="111" t="s">
        <v>130</v>
      </c>
      <c r="C40" s="112"/>
      <c r="D40" s="113"/>
      <c r="E40" s="9">
        <v>2</v>
      </c>
      <c r="F40" s="14" t="s">
        <v>19</v>
      </c>
      <c r="G40" s="1"/>
    </row>
    <row r="41" spans="1:7" ht="15" customHeight="1" x14ac:dyDescent="0.25">
      <c r="A41" s="1"/>
      <c r="B41" s="114" t="s">
        <v>203</v>
      </c>
      <c r="C41" s="114"/>
      <c r="D41" s="114"/>
      <c r="E41" s="10">
        <f>E39/E40</f>
        <v>-856350.44886126858</v>
      </c>
      <c r="F41" s="17" t="s">
        <v>3</v>
      </c>
      <c r="G41" s="1"/>
    </row>
    <row r="42" spans="1:7" x14ac:dyDescent="0.25">
      <c r="A42" s="1"/>
      <c r="B42" s="97"/>
      <c r="C42" s="98"/>
      <c r="D42" s="98"/>
      <c r="E42" s="98"/>
      <c r="F42" s="99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erGBuToPqvavHB8DgeTY9pj2VdA9ygzNQFLcmQ0Y2v4cPmY8CurV2GtYdRMAUGEKkKt91Hq8O328lHRQ+LD6sQ==" saltValue="9Z2TNihfiVBxdze/G9rLyg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216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197</v>
      </c>
      <c r="C8" s="98"/>
      <c r="D8" s="98"/>
      <c r="E8" s="98"/>
      <c r="F8" s="98"/>
      <c r="G8" s="98"/>
      <c r="H8" s="99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7"/>
      <c r="I9" s="1"/>
    </row>
    <row r="10" spans="1:9" ht="39" x14ac:dyDescent="0.25">
      <c r="A10" s="1"/>
      <c r="B10" s="40" t="s">
        <v>247</v>
      </c>
      <c r="C10" s="41" t="s">
        <v>248</v>
      </c>
      <c r="D10" s="9">
        <v>3815497</v>
      </c>
      <c r="E10" s="9">
        <f>IFERROR(D10/C10,0)</f>
        <v>127183.23333333334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40" t="s">
        <v>249</v>
      </c>
      <c r="C11" s="41" t="s">
        <v>250</v>
      </c>
      <c r="D11" s="9">
        <v>397000</v>
      </c>
      <c r="E11" s="9">
        <f t="shared" ref="E11:E12" si="0">IFERROR(D11/C11,0)</f>
        <v>5293.333333333333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40" t="s">
        <v>251</v>
      </c>
      <c r="C12" s="41" t="s">
        <v>252</v>
      </c>
      <c r="D12" s="9">
        <v>2606710</v>
      </c>
      <c r="E12" s="9">
        <f t="shared" si="0"/>
        <v>104268.4</v>
      </c>
      <c r="F12" s="9">
        <v>0</v>
      </c>
      <c r="G12" s="9">
        <v>0</v>
      </c>
      <c r="H12" s="14" t="s">
        <v>3</v>
      </c>
      <c r="I12" s="1"/>
    </row>
    <row r="13" spans="1:9" ht="51.75" x14ac:dyDescent="0.25">
      <c r="A13" s="1"/>
      <c r="B13" s="40" t="s">
        <v>253</v>
      </c>
      <c r="C13" s="41" t="s">
        <v>254</v>
      </c>
      <c r="D13" s="9">
        <v>1848712</v>
      </c>
      <c r="E13" s="9">
        <f t="shared" ref="E13:E14" si="1">IFERROR(D13/C13,0)</f>
        <v>184871.2</v>
      </c>
      <c r="F13" s="9">
        <v>0</v>
      </c>
      <c r="G13" s="9">
        <v>0</v>
      </c>
      <c r="H13" s="14" t="s">
        <v>3</v>
      </c>
      <c r="I13" s="1"/>
    </row>
    <row r="14" spans="1:9" ht="39" x14ac:dyDescent="0.25">
      <c r="A14" s="1"/>
      <c r="B14" s="40" t="s">
        <v>255</v>
      </c>
      <c r="C14" s="41" t="s">
        <v>256</v>
      </c>
      <c r="D14" s="9">
        <v>212643</v>
      </c>
      <c r="E14" s="9">
        <f t="shared" si="1"/>
        <v>14176.2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97" t="s">
        <v>198</v>
      </c>
      <c r="C15" s="98"/>
      <c r="D15" s="99"/>
      <c r="E15" s="12">
        <f>SUM(E10:E14)</f>
        <v>435792.3666666667</v>
      </c>
      <c r="F15" s="12">
        <f t="shared" ref="F15:G15" si="2">SUM(F10:F14)</f>
        <v>0</v>
      </c>
      <c r="G15" s="12">
        <f t="shared" si="2"/>
        <v>0</v>
      </c>
      <c r="H15" s="13" t="s">
        <v>3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WHRyuDF7u8g4ewklJ1HlAfy98aZ8RElky+44iKB6gbAeTRGoVWCb+Og3xXV7Pbe7fEzqC49Q17gfzFFXgX5gA==" saltValue="SBfbeKmf9Gv1/Qf4QMVRoA==" spinCount="100000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215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94</v>
      </c>
      <c r="C8" s="45"/>
      <c r="D8" s="45"/>
      <c r="E8" s="45"/>
      <c r="F8" s="20"/>
      <c r="G8" s="1"/>
    </row>
    <row r="9" spans="1:7" ht="17.25" customHeight="1" x14ac:dyDescent="0.25">
      <c r="A9" s="1"/>
      <c r="B9" s="51" t="s">
        <v>16</v>
      </c>
      <c r="C9" s="51" t="s">
        <v>11</v>
      </c>
      <c r="D9" s="52"/>
      <c r="E9" s="51" t="s">
        <v>34</v>
      </c>
      <c r="F9" s="47"/>
      <c r="G9" s="1"/>
    </row>
    <row r="10" spans="1:7" x14ac:dyDescent="0.25">
      <c r="A10" s="1"/>
      <c r="B10" s="25" t="s">
        <v>44</v>
      </c>
      <c r="C10" s="22">
        <f>'Fane 8. Anlægsprojekter'!F15</f>
        <v>0</v>
      </c>
      <c r="D10" s="14" t="s">
        <v>3</v>
      </c>
      <c r="E10" s="9">
        <f>SUM('Fane 8. Anlægsprojekter'!E15,'Fane 8. Anlægsprojekter'!G15)</f>
        <v>435792.3666666667</v>
      </c>
      <c r="F10" s="14" t="s">
        <v>3</v>
      </c>
      <c r="G10" s="1"/>
    </row>
    <row r="11" spans="1:7" x14ac:dyDescent="0.25">
      <c r="A11" s="1"/>
      <c r="B11" s="42" t="s">
        <v>240</v>
      </c>
      <c r="C11" s="22">
        <v>147246</v>
      </c>
      <c r="D11" s="14" t="s">
        <v>3</v>
      </c>
      <c r="E11" s="9">
        <v>20393</v>
      </c>
      <c r="F11" s="14" t="s">
        <v>3</v>
      </c>
      <c r="G11" s="1"/>
    </row>
    <row r="12" spans="1:7" x14ac:dyDescent="0.25">
      <c r="A12" s="1"/>
      <c r="B12" s="44" t="s">
        <v>48</v>
      </c>
      <c r="C12" s="12">
        <f>SUM(C10:C11)</f>
        <v>147246</v>
      </c>
      <c r="D12" s="13" t="s">
        <v>3</v>
      </c>
      <c r="E12" s="12">
        <f>SUM(E10:E11)</f>
        <v>456185.3666666667</v>
      </c>
      <c r="F12" s="13" t="s">
        <v>3</v>
      </c>
      <c r="G12" s="1"/>
    </row>
    <row r="13" spans="1:7" x14ac:dyDescent="0.25">
      <c r="A13" s="1"/>
      <c r="B13" s="44" t="s">
        <v>173</v>
      </c>
      <c r="C13" s="12">
        <f>C12*(1+'Fane 12. Nøgletal'!C13)</f>
        <v>149042.40119999999</v>
      </c>
      <c r="D13" s="13" t="s">
        <v>3</v>
      </c>
      <c r="E13" s="12">
        <f>E12*(1+'Fane 12. Nøgletal'!C13)</f>
        <v>461750.82814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8f6vH3HN/KeN2fzgEc5pKSIweVUqQm4/3Sexu4+vwuD5DptRnaLMI/VAfAf/xvPEFludD3p5Zd0RBl6d1qoRg==" saltValue="xCqvn7rZ9uZbhPHYm4JQL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214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119</v>
      </c>
      <c r="C8" s="98"/>
      <c r="D8" s="98"/>
      <c r="E8" s="98"/>
      <c r="F8" s="99"/>
      <c r="G8" s="1"/>
    </row>
    <row r="9" spans="1:7" x14ac:dyDescent="0.25">
      <c r="A9" s="1"/>
      <c r="B9" s="51" t="s">
        <v>16</v>
      </c>
      <c r="C9" s="51" t="s">
        <v>11</v>
      </c>
      <c r="D9" s="52"/>
      <c r="E9" s="51" t="s">
        <v>34</v>
      </c>
      <c r="F9" s="47"/>
      <c r="G9" s="1"/>
    </row>
    <row r="10" spans="1:7" x14ac:dyDescent="0.2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4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4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7" t="s">
        <v>120</v>
      </c>
      <c r="C16" s="98"/>
      <c r="D16" s="98"/>
      <c r="E16" s="98"/>
      <c r="F16" s="99"/>
      <c r="G16" s="1"/>
    </row>
    <row r="17" spans="1:7" x14ac:dyDescent="0.25">
      <c r="A17" s="1"/>
      <c r="B17" s="51" t="s">
        <v>16</v>
      </c>
      <c r="C17" s="51" t="s">
        <v>11</v>
      </c>
      <c r="D17" s="52"/>
      <c r="E17" s="51" t="s">
        <v>34</v>
      </c>
      <c r="F17" s="47"/>
      <c r="G17" s="1"/>
    </row>
    <row r="18" spans="1:7" x14ac:dyDescent="0.2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4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4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7" t="s">
        <v>121</v>
      </c>
      <c r="C24" s="98"/>
      <c r="D24" s="98"/>
      <c r="E24" s="98"/>
      <c r="F24" s="99"/>
      <c r="G24" s="1"/>
    </row>
    <row r="25" spans="1:7" x14ac:dyDescent="0.25">
      <c r="A25" s="1"/>
      <c r="B25" s="51" t="s">
        <v>16</v>
      </c>
      <c r="C25" s="51" t="s">
        <v>11</v>
      </c>
      <c r="D25" s="52"/>
      <c r="E25" s="51" t="s">
        <v>34</v>
      </c>
      <c r="F25" s="47"/>
      <c r="G25" s="1"/>
    </row>
    <row r="26" spans="1:7" x14ac:dyDescent="0.2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4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4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7" t="s">
        <v>176</v>
      </c>
      <c r="C32" s="98"/>
      <c r="D32" s="98"/>
      <c r="E32" s="98"/>
      <c r="F32" s="99"/>
      <c r="G32" s="1"/>
    </row>
    <row r="33" spans="1:7" x14ac:dyDescent="0.25">
      <c r="A33" s="1"/>
      <c r="B33" s="51" t="s">
        <v>16</v>
      </c>
      <c r="C33" s="51" t="s">
        <v>11</v>
      </c>
      <c r="D33" s="52"/>
      <c r="E33" s="51" t="s">
        <v>34</v>
      </c>
      <c r="F33" s="47"/>
      <c r="G33" s="1"/>
    </row>
    <row r="34" spans="1:7" x14ac:dyDescent="0.2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4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4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iDckcu/ZMqO9ew2qG6QNLXWYNtvMFIjOULa16UAKgrubUY6vYUtrZjqkSd+ru84DflWrpk5hfozs0cPp7WR6Q==" saltValue="xJKtLJ02VlcdCvG/fa77v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213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156</v>
      </c>
      <c r="C8" s="98"/>
      <c r="D8" s="98"/>
      <c r="E8" s="98"/>
      <c r="F8" s="99"/>
      <c r="G8" s="1"/>
    </row>
    <row r="9" spans="1:7" ht="15" customHeight="1" x14ac:dyDescent="0.25">
      <c r="A9" s="1"/>
      <c r="B9" s="46" t="s">
        <v>157</v>
      </c>
      <c r="C9" s="88" t="s">
        <v>11</v>
      </c>
      <c r="D9" s="90"/>
      <c r="E9" s="88" t="s">
        <v>34</v>
      </c>
      <c r="F9" s="90"/>
      <c r="G9" s="1"/>
    </row>
    <row r="10" spans="1:7" x14ac:dyDescent="0.2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sYPd2cc8EzhFlxqx8fBKiOdNoqaeNVhgRBTZuZ7FBkaB23qrZQXSQ/gEIPFriTj4+UA5JfkMAcgw57SXzhJBKg==" saltValue="wy32PzjIcsteMZ6MJaWup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212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111</v>
      </c>
      <c r="C8" s="98"/>
      <c r="D8" s="98"/>
      <c r="E8" s="98"/>
      <c r="F8" s="99"/>
      <c r="G8" s="1"/>
    </row>
    <row r="9" spans="1:7" ht="15" customHeight="1" x14ac:dyDescent="0.25">
      <c r="A9" s="1"/>
      <c r="B9" s="46" t="s">
        <v>17</v>
      </c>
      <c r="C9" s="46" t="s">
        <v>11</v>
      </c>
      <c r="D9" s="47"/>
      <c r="E9" s="46" t="s">
        <v>34</v>
      </c>
      <c r="F9" s="47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4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4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7" t="s">
        <v>110</v>
      </c>
      <c r="C15" s="98"/>
      <c r="D15" s="98"/>
      <c r="E15" s="98"/>
      <c r="F15" s="99"/>
      <c r="G15" s="1"/>
    </row>
    <row r="16" spans="1:7" ht="26.25" x14ac:dyDescent="0.25">
      <c r="A16" s="1"/>
      <c r="B16" s="46" t="s">
        <v>17</v>
      </c>
      <c r="C16" s="46" t="s">
        <v>11</v>
      </c>
      <c r="D16" s="47"/>
      <c r="E16" s="46" t="s">
        <v>34</v>
      </c>
      <c r="F16" s="47"/>
      <c r="G16" s="1"/>
    </row>
    <row r="17" spans="1:7" x14ac:dyDescent="0.2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4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4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7" t="s">
        <v>112</v>
      </c>
      <c r="C22" s="98"/>
      <c r="D22" s="98"/>
      <c r="E22" s="98"/>
      <c r="F22" s="99"/>
      <c r="G22" s="1"/>
    </row>
    <row r="23" spans="1:7" ht="26.25" x14ac:dyDescent="0.25">
      <c r="A23" s="1"/>
      <c r="B23" s="46" t="s">
        <v>17</v>
      </c>
      <c r="C23" s="46" t="s">
        <v>11</v>
      </c>
      <c r="D23" s="47"/>
      <c r="E23" s="46" t="s">
        <v>34</v>
      </c>
      <c r="F23" s="47"/>
      <c r="G23" s="1"/>
    </row>
    <row r="24" spans="1:7" x14ac:dyDescent="0.2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4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4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7" t="s">
        <v>182</v>
      </c>
      <c r="C29" s="98"/>
      <c r="D29" s="98"/>
      <c r="E29" s="98"/>
      <c r="F29" s="99"/>
      <c r="G29" s="1"/>
    </row>
    <row r="30" spans="1:7" ht="26.25" x14ac:dyDescent="0.25">
      <c r="A30" s="1"/>
      <c r="B30" s="46" t="s">
        <v>17</v>
      </c>
      <c r="C30" s="46" t="s">
        <v>11</v>
      </c>
      <c r="D30" s="47"/>
      <c r="E30" s="46" t="s">
        <v>34</v>
      </c>
      <c r="F30" s="47"/>
      <c r="G30" s="1"/>
    </row>
    <row r="31" spans="1:7" x14ac:dyDescent="0.2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4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4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ckLPKHdGQOwZsBiQOBoqol0yHd/h+a1nwAwgP0jdTq07VtLbeuvGnwNFrrkWzabZKdT7LCuFzRAmvZMmV9NGQ==" saltValue="KkI/YqxwiwxuSEgZKudDl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211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20"/>
      <c r="D8" s="1"/>
    </row>
    <row r="9" spans="1:4" x14ac:dyDescent="0.25">
      <c r="A9" s="1"/>
      <c r="B9" s="53" t="s">
        <v>141</v>
      </c>
      <c r="C9" s="26">
        <v>1.2699999999999999E-2</v>
      </c>
      <c r="D9" s="1"/>
    </row>
    <row r="10" spans="1:4" x14ac:dyDescent="0.25">
      <c r="A10" s="1"/>
      <c r="B10" s="53" t="s">
        <v>22</v>
      </c>
      <c r="C10" s="26">
        <v>1.7500000000000002E-2</v>
      </c>
      <c r="D10" s="1"/>
    </row>
    <row r="11" spans="1:4" x14ac:dyDescent="0.25">
      <c r="A11" s="1"/>
      <c r="B11" s="53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7"/>
      <c r="C14" s="99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126</v>
      </c>
      <c r="C17" s="20"/>
      <c r="D17" s="1"/>
    </row>
    <row r="18" spans="1:4" x14ac:dyDescent="0.25">
      <c r="A18" s="1"/>
      <c r="B18" s="53" t="s">
        <v>143</v>
      </c>
      <c r="C18" s="23">
        <v>9.1000000000000004E-3</v>
      </c>
      <c r="D18" s="1"/>
    </row>
    <row r="19" spans="1:4" x14ac:dyDescent="0.25">
      <c r="A19" s="1"/>
      <c r="B19" s="53" t="s">
        <v>144</v>
      </c>
      <c r="C19" s="23">
        <v>1.77E-2</v>
      </c>
      <c r="D19" s="1"/>
    </row>
    <row r="20" spans="1:4" x14ac:dyDescent="0.25">
      <c r="A20" s="1"/>
      <c r="B20" s="53" t="s">
        <v>145</v>
      </c>
      <c r="C20" s="23">
        <v>8.6999999999999994E-3</v>
      </c>
      <c r="D20" s="1"/>
    </row>
    <row r="21" spans="1:4" x14ac:dyDescent="0.25">
      <c r="A21" s="1"/>
      <c r="B21" s="53" t="s">
        <v>146</v>
      </c>
      <c r="C21" s="36">
        <v>2.8400000000000002E-2</v>
      </c>
      <c r="D21" s="1"/>
    </row>
    <row r="22" spans="1:4" x14ac:dyDescent="0.25">
      <c r="A22" s="1"/>
      <c r="B22" s="53" t="s">
        <v>186</v>
      </c>
      <c r="C22" s="36">
        <v>2.75E-2</v>
      </c>
      <c r="D22" s="1"/>
    </row>
    <row r="23" spans="1:4" x14ac:dyDescent="0.25">
      <c r="A23" s="1"/>
      <c r="B23" s="44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4" t="s">
        <v>127</v>
      </c>
      <c r="C26" s="20"/>
      <c r="D26" s="1"/>
    </row>
    <row r="27" spans="1:4" x14ac:dyDescent="0.25">
      <c r="A27" s="1"/>
      <c r="B27" s="53" t="s">
        <v>147</v>
      </c>
      <c r="C27" s="26">
        <v>0.02</v>
      </c>
      <c r="D27" s="1"/>
    </row>
    <row r="28" spans="1:4" x14ac:dyDescent="0.25">
      <c r="A28" s="1"/>
      <c r="B28" s="44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smfH098uBQ22vygrw8f3gGQpsGiFrshjQbB90IJJbKnGMRIu5NWNpfyirlpyBXh75dpRQYFkVST/ZUWoyIGWIA==" saltValue="4gN+0Ify9bMOwWVgDCo48g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161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13</v>
      </c>
      <c r="C8" s="45"/>
      <c r="D8" s="20"/>
      <c r="E8" s="1"/>
    </row>
    <row r="9" spans="1:5" x14ac:dyDescent="0.25">
      <c r="A9" s="1"/>
      <c r="B9" s="49" t="s">
        <v>25</v>
      </c>
      <c r="C9" s="7">
        <f>'Fane 3. Omkostninger i ØR2020'!E20</f>
        <v>22433629.016783781</v>
      </c>
      <c r="D9" s="8" t="s">
        <v>3</v>
      </c>
      <c r="E9" s="1"/>
    </row>
    <row r="10" spans="1:5" x14ac:dyDescent="0.25">
      <c r="A10" s="1"/>
      <c r="B10" s="49" t="s">
        <v>243</v>
      </c>
      <c r="C10" s="7">
        <v>-52716.176522925452</v>
      </c>
      <c r="D10" s="8" t="s">
        <v>3</v>
      </c>
      <c r="E10" s="1"/>
    </row>
    <row r="11" spans="1:5" ht="17.100000000000001" customHeight="1" x14ac:dyDescent="0.25">
      <c r="A11" s="1"/>
      <c r="B11" s="31" t="s">
        <v>45</v>
      </c>
      <c r="C11" s="7">
        <f>'Fane 9.1. Varige tillæg'!C13</f>
        <v>149042.40119999999</v>
      </c>
      <c r="D11" s="8" t="s">
        <v>3</v>
      </c>
      <c r="E11" s="1"/>
    </row>
    <row r="12" spans="1:5" ht="17.100000000000001" customHeight="1" x14ac:dyDescent="0.25">
      <c r="A12" s="1"/>
      <c r="B12" s="31" t="s">
        <v>46</v>
      </c>
      <c r="C12" s="9">
        <f>'Fane 9.1. Varige tillæg'!E13</f>
        <v>461750.82814</v>
      </c>
      <c r="D12" s="8" t="s">
        <v>3</v>
      </c>
      <c r="E12" s="1"/>
    </row>
    <row r="13" spans="1:5" ht="17.100000000000001" customHeight="1" x14ac:dyDescent="0.2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25">
      <c r="A17" s="1"/>
      <c r="B17" s="31" t="s">
        <v>18</v>
      </c>
      <c r="C17" s="9">
        <f>SUM(C9:C16)*'Fane 12. Nøgletal'!C13</f>
        <v>280498.81404913048</v>
      </c>
      <c r="D17" s="8" t="s">
        <v>3</v>
      </c>
      <c r="E17" s="1"/>
    </row>
    <row r="18" spans="1:5" ht="17.100000000000001" customHeight="1" x14ac:dyDescent="0.25">
      <c r="A18" s="1"/>
      <c r="B18" s="31" t="s">
        <v>9</v>
      </c>
      <c r="C18" s="9">
        <f>-SUM(C9:C17)*'Fane 5. Individuelt eff. krav'!G10</f>
        <v>-235319.49738437872</v>
      </c>
      <c r="D18" s="8" t="s">
        <v>3</v>
      </c>
      <c r="E18" s="1"/>
    </row>
    <row r="19" spans="1:5" ht="17.100000000000001" customHeight="1" x14ac:dyDescent="0.25">
      <c r="A19" s="1"/>
      <c r="B19" s="31" t="s">
        <v>27</v>
      </c>
      <c r="C19" s="9">
        <f>-'Fane 4.1. Gen. krav - drift'!G31</f>
        <v>-235042.80713178683</v>
      </c>
      <c r="D19" s="8" t="s">
        <v>3</v>
      </c>
      <c r="E19" s="1"/>
    </row>
    <row r="20" spans="1:5" ht="17.100000000000001" customHeight="1" x14ac:dyDescent="0.25">
      <c r="A20" s="1"/>
      <c r="B20" s="31" t="s">
        <v>28</v>
      </c>
      <c r="C20" s="9">
        <f>-'Fane 4.2. Gen. krav - anlæg'!G31</f>
        <v>-332887.63906490314</v>
      </c>
      <c r="D20" s="8" t="s">
        <v>3</v>
      </c>
      <c r="E20" s="1"/>
    </row>
    <row r="21" spans="1:5" ht="17.100000000000001" customHeight="1" x14ac:dyDescent="0.25">
      <c r="A21" s="1"/>
      <c r="B21" s="54" t="s">
        <v>20</v>
      </c>
      <c r="C21" s="10">
        <f>SUM(C9:C20)</f>
        <v>22468954.940068919</v>
      </c>
      <c r="D21" s="11" t="s">
        <v>3</v>
      </c>
      <c r="E21" s="1"/>
    </row>
    <row r="22" spans="1:5" ht="15" customHeight="1" x14ac:dyDescent="0.25">
      <c r="A22" s="1"/>
      <c r="B22" s="44" t="s">
        <v>12</v>
      </c>
      <c r="C22" s="45"/>
      <c r="D22" s="20"/>
      <c r="E22" s="1"/>
    </row>
    <row r="23" spans="1:5" ht="15" customHeight="1" x14ac:dyDescent="0.25">
      <c r="A23" s="1"/>
      <c r="B23" s="46" t="s">
        <v>12</v>
      </c>
      <c r="C23" s="10">
        <f>'Fane 6. Ikke-påvirkelige omk.'!C16</f>
        <v>12273356.046857631</v>
      </c>
      <c r="D23" s="11" t="s">
        <v>3</v>
      </c>
      <c r="E23" s="1"/>
    </row>
    <row r="24" spans="1:5" ht="15" customHeight="1" x14ac:dyDescent="0.25">
      <c r="A24" s="1"/>
      <c r="B24" s="44" t="s">
        <v>99</v>
      </c>
      <c r="C24" s="45"/>
      <c r="D24" s="20"/>
      <c r="E24" s="1"/>
    </row>
    <row r="25" spans="1:5" ht="15" customHeight="1" x14ac:dyDescent="0.25">
      <c r="A25" s="1"/>
      <c r="B25" s="31" t="s">
        <v>95</v>
      </c>
      <c r="C25" s="9">
        <f>'Fane 9.2. Engangstillæg'!C14</f>
        <v>0</v>
      </c>
      <c r="D25" s="8" t="s">
        <v>3</v>
      </c>
      <c r="E25" s="1"/>
    </row>
    <row r="26" spans="1:5" ht="15" customHeight="1" x14ac:dyDescent="0.2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25">
      <c r="A27" s="1"/>
      <c r="B27" s="54" t="s">
        <v>100</v>
      </c>
      <c r="C27" s="10">
        <f>SUM(C25:C26)</f>
        <v>0</v>
      </c>
      <c r="D27" s="11" t="s">
        <v>3</v>
      </c>
      <c r="E27" s="1"/>
    </row>
    <row r="28" spans="1:5" ht="15" customHeight="1" x14ac:dyDescent="0.25">
      <c r="A28" s="1"/>
      <c r="B28" s="38" t="s">
        <v>204</v>
      </c>
      <c r="C28" s="45"/>
      <c r="D28" s="20"/>
      <c r="E28" s="1"/>
    </row>
    <row r="29" spans="1:5" x14ac:dyDescent="0.25">
      <c r="A29" s="1"/>
      <c r="B29" s="39" t="s">
        <v>205</v>
      </c>
      <c r="C29" s="10">
        <f>'Fane 7. Kontrol af ØR2019'!E41</f>
        <v>-856350.44886126858</v>
      </c>
      <c r="D29" s="11" t="s">
        <v>3</v>
      </c>
      <c r="E29" s="1"/>
    </row>
    <row r="30" spans="1:5" x14ac:dyDescent="0.25">
      <c r="A30" s="1"/>
      <c r="B30" s="38" t="s">
        <v>244</v>
      </c>
      <c r="C30" s="45"/>
      <c r="D30" s="20"/>
      <c r="E30" s="1"/>
    </row>
    <row r="31" spans="1:5" x14ac:dyDescent="0.25">
      <c r="A31" s="1"/>
      <c r="B31" s="39" t="s">
        <v>245</v>
      </c>
      <c r="C31" s="10">
        <v>1872.7987238603037</v>
      </c>
      <c r="D31" s="11" t="s">
        <v>3</v>
      </c>
      <c r="E31" s="1"/>
    </row>
    <row r="32" spans="1:5" x14ac:dyDescent="0.25">
      <c r="A32" s="1"/>
      <c r="B32" s="44" t="s">
        <v>31</v>
      </c>
      <c r="C32" s="32">
        <f>SUM(C21,C23,C27,C29,C31)</f>
        <v>33887833.336789139</v>
      </c>
      <c r="D32" s="20" t="s">
        <v>3</v>
      </c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1o8Fn0z+6HJIoeFuP68mpPZzhPbdbvQvIqPHj+7aze+ax/rh8T1rbDJQ/tchw3+03U1MqqtKAirbs3yRulkWOg==" saltValue="0CLqcspjWVJVN5S9VZ8TC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162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/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13</v>
      </c>
      <c r="C8" s="45"/>
      <c r="D8" s="20"/>
      <c r="E8" s="1"/>
    </row>
    <row r="9" spans="1:5" ht="15" customHeight="1" x14ac:dyDescent="0.25">
      <c r="A9" s="1"/>
      <c r="B9" s="49" t="s">
        <v>26</v>
      </c>
      <c r="C9" s="7">
        <f>'Fane 2.1. Økonomisk ramme 2021'!C21</f>
        <v>22468954.940068919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3" t="s">
        <v>18</v>
      </c>
      <c r="C12" s="9">
        <f>SUM(C9:C11)*'Fane 12. Nøgletal'!C13</f>
        <v>274121.25026884081</v>
      </c>
      <c r="D12" s="8" t="s">
        <v>3</v>
      </c>
      <c r="E12" s="1"/>
    </row>
    <row r="13" spans="1:5" ht="15" customHeight="1" x14ac:dyDescent="0.25">
      <c r="A13" s="1"/>
      <c r="B13" s="43" t="s">
        <v>9</v>
      </c>
      <c r="C13" s="9">
        <f>-SUM(C9:C12)*'Fane 5. Individuelt eff. krav'!G10</f>
        <v>-229969.1535392467</v>
      </c>
      <c r="D13" s="8" t="s">
        <v>3</v>
      </c>
      <c r="E13" s="1"/>
    </row>
    <row r="14" spans="1:5" ht="15" customHeight="1" x14ac:dyDescent="0.25">
      <c r="A14" s="1"/>
      <c r="B14" s="43" t="s">
        <v>27</v>
      </c>
      <c r="C14" s="9">
        <f>-'Fane 4.1. Gen. krav - drift'!G37</f>
        <v>-233152.12279121872</v>
      </c>
      <c r="D14" s="8" t="s">
        <v>3</v>
      </c>
      <c r="E14" s="1"/>
    </row>
    <row r="15" spans="1:5" ht="15" customHeight="1" x14ac:dyDescent="0.25">
      <c r="A15" s="1"/>
      <c r="B15" s="43" t="s">
        <v>28</v>
      </c>
      <c r="C15" s="9">
        <f>-'Fane 4.2. Gen. krav - anlæg'!G37</f>
        <v>-327682.77438430383</v>
      </c>
      <c r="D15" s="8" t="s">
        <v>3</v>
      </c>
      <c r="E15" s="1"/>
    </row>
    <row r="16" spans="1:5" ht="15" customHeight="1" x14ac:dyDescent="0.25">
      <c r="A16" s="1"/>
      <c r="B16" s="50" t="s">
        <v>20</v>
      </c>
      <c r="C16" s="10">
        <f>SUM(C9:C15)</f>
        <v>21952272.139622986</v>
      </c>
      <c r="D16" s="11" t="s">
        <v>3</v>
      </c>
      <c r="E16" s="1"/>
    </row>
    <row r="17" spans="1:5" x14ac:dyDescent="0.25">
      <c r="A17" s="1"/>
      <c r="B17" s="44" t="s">
        <v>12</v>
      </c>
      <c r="C17" s="45"/>
      <c r="D17" s="20"/>
      <c r="E17" s="1"/>
    </row>
    <row r="18" spans="1:5" ht="15" customHeight="1" x14ac:dyDescent="0.25">
      <c r="A18" s="1"/>
      <c r="B18" s="46" t="s">
        <v>12</v>
      </c>
      <c r="C18" s="10">
        <f>'Fane 6. Ikke-påvirkelige omk.'!C16*(1+'Fane 12. Nøgletal'!C13)</f>
        <v>12423090.990629293</v>
      </c>
      <c r="D18" s="11" t="s">
        <v>3</v>
      </c>
      <c r="E18" s="1"/>
    </row>
    <row r="19" spans="1:5" ht="15" customHeight="1" x14ac:dyDescent="0.25">
      <c r="A19" s="1"/>
      <c r="B19" s="44" t="s">
        <v>99</v>
      </c>
      <c r="C19" s="45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4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5"/>
      <c r="D23" s="20"/>
      <c r="E23" s="1"/>
    </row>
    <row r="24" spans="1:5" ht="15" customHeight="1" x14ac:dyDescent="0.25">
      <c r="A24" s="1"/>
      <c r="B24" s="55" t="s">
        <v>205</v>
      </c>
      <c r="C24" s="10">
        <f>'Fane 7. Kontrol af ØR2019'!E41</f>
        <v>-856350.44886126858</v>
      </c>
      <c r="D24" s="11" t="s">
        <v>3</v>
      </c>
      <c r="E24" s="1"/>
    </row>
    <row r="25" spans="1:5" x14ac:dyDescent="0.25">
      <c r="A25" s="1"/>
      <c r="B25" s="44" t="s">
        <v>32</v>
      </c>
      <c r="C25" s="12">
        <f>SUM(C16,C18,C22,C24)</f>
        <v>33519012.681391012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yTYlVzczywFhSVNpT8FOPr8R3UN3vzd3dBFqRx1vwmzM5V+ebm2qD9FJkLn7koBeNQ2OjkME5ccoYMRT7pl1qQ==" saltValue="PDJ4tqPUTtwdYNknsp11n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163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21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4" t="s">
        <v>13</v>
      </c>
      <c r="C7" s="45"/>
      <c r="D7" s="20"/>
      <c r="E7" s="1"/>
    </row>
    <row r="8" spans="1:5" ht="15" customHeight="1" x14ac:dyDescent="0.25">
      <c r="A8" s="1"/>
      <c r="B8" s="49" t="s">
        <v>165</v>
      </c>
      <c r="C8" s="7">
        <f>'Fane 2.2. Økonomisk ramme 2022'!C16</f>
        <v>21952272.139622986</v>
      </c>
      <c r="D8" s="8" t="s">
        <v>3</v>
      </c>
      <c r="E8" s="1"/>
    </row>
    <row r="9" spans="1:5" ht="15" customHeight="1" x14ac:dyDescent="0.25">
      <c r="A9" s="1"/>
      <c r="B9" s="49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9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3" t="s">
        <v>18</v>
      </c>
      <c r="C11" s="9">
        <f>SUM(C8:C10)*'Fane 12. Nøgletal'!C13</f>
        <v>267817.72010340047</v>
      </c>
      <c r="D11" s="8" t="s">
        <v>3</v>
      </c>
      <c r="E11" s="1"/>
    </row>
    <row r="12" spans="1:5" ht="15" customHeight="1" x14ac:dyDescent="0.25">
      <c r="A12" s="1"/>
      <c r="B12" s="43" t="s">
        <v>9</v>
      </c>
      <c r="C12" s="9">
        <f>-SUM(C8:C11)*'Fane 5. Individuelt eff. krav'!G10</f>
        <v>-224680.91888019079</v>
      </c>
      <c r="D12" s="8" t="s">
        <v>3</v>
      </c>
      <c r="E12" s="1"/>
    </row>
    <row r="13" spans="1:5" ht="15" customHeight="1" x14ac:dyDescent="0.25">
      <c r="A13" s="1"/>
      <c r="B13" s="43" t="s">
        <v>27</v>
      </c>
      <c r="C13" s="9">
        <f>-'Fane 4.1. Gen. krav - drift'!G43</f>
        <v>-231276.64711548615</v>
      </c>
      <c r="D13" s="8" t="s">
        <v>3</v>
      </c>
      <c r="E13" s="1"/>
    </row>
    <row r="14" spans="1:5" ht="15" customHeight="1" x14ac:dyDescent="0.25">
      <c r="A14" s="1"/>
      <c r="B14" s="43" t="s">
        <v>28</v>
      </c>
      <c r="C14" s="9">
        <f>-'Fane 4.2. Gen. krav - anlæg'!G43</f>
        <v>-322559.29036541813</v>
      </c>
      <c r="D14" s="8" t="s">
        <v>3</v>
      </c>
      <c r="E14" s="1"/>
    </row>
    <row r="15" spans="1:5" x14ac:dyDescent="0.25">
      <c r="A15" s="1"/>
      <c r="B15" s="50" t="s">
        <v>20</v>
      </c>
      <c r="C15" s="10">
        <f>SUM(C8:C14)</f>
        <v>21441573.003365293</v>
      </c>
      <c r="D15" s="11" t="s">
        <v>3</v>
      </c>
      <c r="E15" s="1"/>
    </row>
    <row r="16" spans="1:5" x14ac:dyDescent="0.25">
      <c r="A16" s="1"/>
      <c r="B16" s="44" t="s">
        <v>12</v>
      </c>
      <c r="C16" s="45"/>
      <c r="D16" s="20"/>
      <c r="E16" s="1"/>
    </row>
    <row r="17" spans="1:5" ht="15" customHeight="1" x14ac:dyDescent="0.25">
      <c r="A17" s="1"/>
      <c r="B17" s="46" t="s">
        <v>12</v>
      </c>
      <c r="C17" s="10">
        <f>'Fane 6. Ikke-påvirkelige omk.'!C16*(1+'Fane 12. Nøgletal'!C13)^2</f>
        <v>12574652.700714972</v>
      </c>
      <c r="D17" s="11" t="s">
        <v>3</v>
      </c>
      <c r="E17" s="1"/>
    </row>
    <row r="18" spans="1:5" ht="15" customHeight="1" x14ac:dyDescent="0.25">
      <c r="A18" s="1"/>
      <c r="B18" s="44" t="s">
        <v>99</v>
      </c>
      <c r="C18" s="45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4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4" t="s">
        <v>109</v>
      </c>
      <c r="C22" s="12">
        <f>SUM(C15,C17,C21)</f>
        <v>34016225.704080269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HYAz1BLBYId/NtxUQkXDawYKWqszf4B+ltDLCsX/CpHbfca2XnZ+Sus1ZqMxsmktjkuvXX6V0f4OFvy13ir17A==" saltValue="hPAM7tAwiFt4Nnz0z9nLV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164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21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4" t="s">
        <v>13</v>
      </c>
      <c r="C7" s="45"/>
      <c r="D7" s="20"/>
      <c r="E7" s="1"/>
    </row>
    <row r="8" spans="1:5" ht="15" customHeight="1" x14ac:dyDescent="0.25">
      <c r="A8" s="1"/>
      <c r="B8" s="49" t="s">
        <v>166</v>
      </c>
      <c r="C8" s="7">
        <f>'Fane 2.3. Økonomisk ramme 2023'!C15</f>
        <v>21441573.003365293</v>
      </c>
      <c r="D8" s="8" t="s">
        <v>3</v>
      </c>
      <c r="E8" s="1"/>
    </row>
    <row r="9" spans="1:5" ht="15" customHeight="1" x14ac:dyDescent="0.25">
      <c r="A9" s="1"/>
      <c r="B9" s="49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9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3" t="s">
        <v>18</v>
      </c>
      <c r="C11" s="9">
        <f>SUM(C8:C10)*'Fane 12. Nøgletal'!C13</f>
        <v>261587.1906410566</v>
      </c>
      <c r="D11" s="8" t="s">
        <v>3</v>
      </c>
      <c r="E11" s="1"/>
    </row>
    <row r="12" spans="1:5" ht="15" customHeight="1" x14ac:dyDescent="0.25">
      <c r="A12" s="1"/>
      <c r="B12" s="43" t="s">
        <v>9</v>
      </c>
      <c r="C12" s="9">
        <f>-SUM(C8:C11)*'Fane 5. Individuelt eff. krav'!G10</f>
        <v>-219453.9268642441</v>
      </c>
      <c r="D12" s="8" t="s">
        <v>3</v>
      </c>
      <c r="E12" s="1"/>
    </row>
    <row r="13" spans="1:5" ht="15" customHeight="1" x14ac:dyDescent="0.25">
      <c r="A13" s="1"/>
      <c r="B13" s="43" t="s">
        <v>27</v>
      </c>
      <c r="C13" s="9">
        <f>-'Fane 4.1. Gen. krav - drift'!G49</f>
        <v>-229416.25776608917</v>
      </c>
      <c r="D13" s="8" t="s">
        <v>3</v>
      </c>
      <c r="E13" s="1"/>
    </row>
    <row r="14" spans="1:5" ht="15" customHeight="1" x14ac:dyDescent="0.25">
      <c r="A14" s="1"/>
      <c r="B14" s="43" t="s">
        <v>28</v>
      </c>
      <c r="C14" s="9">
        <f>-'Fane 4.2. Gen. krav - anlæg'!G49</f>
        <v>-317515.91458090959</v>
      </c>
      <c r="D14" s="8" t="s">
        <v>3</v>
      </c>
      <c r="E14" s="1"/>
    </row>
    <row r="15" spans="1:5" x14ac:dyDescent="0.25">
      <c r="A15" s="1"/>
      <c r="B15" s="50" t="s">
        <v>20</v>
      </c>
      <c r="C15" s="10">
        <f>SUM(C8:C14)</f>
        <v>20936774.094795104</v>
      </c>
      <c r="D15" s="11" t="s">
        <v>3</v>
      </c>
      <c r="E15" s="1"/>
    </row>
    <row r="16" spans="1:5" x14ac:dyDescent="0.25">
      <c r="A16" s="1"/>
      <c r="B16" s="44" t="s">
        <v>12</v>
      </c>
      <c r="C16" s="45"/>
      <c r="D16" s="20"/>
      <c r="E16" s="1"/>
    </row>
    <row r="17" spans="1:5" ht="15" customHeight="1" x14ac:dyDescent="0.25">
      <c r="A17" s="1"/>
      <c r="B17" s="46" t="s">
        <v>12</v>
      </c>
      <c r="C17" s="10">
        <f>'Fane 6. Ikke-påvirkelige omk.'!C16*(1+'Fane 12. Nøgletal'!C13)^3</f>
        <v>12728063.463663695</v>
      </c>
      <c r="D17" s="11" t="s">
        <v>3</v>
      </c>
      <c r="E17" s="1"/>
    </row>
    <row r="18" spans="1:5" ht="15" customHeight="1" x14ac:dyDescent="0.25">
      <c r="A18" s="1"/>
      <c r="B18" s="44" t="s">
        <v>99</v>
      </c>
      <c r="C18" s="45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4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4" t="s">
        <v>242</v>
      </c>
      <c r="C22" s="12">
        <f>SUM(C15,C17,C21)</f>
        <v>33664837.558458798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Kv6ouaIKtPvimrQmfHJR2YYD7JJvnXXk5kwZ8xyp2Ov6wOk3AD8oAuQzabkLJAm4FsXvBQcN1qJ6EQZQCHS6FA==" saltValue="/8nwl3vDrwNuMC50x4XnG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180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167</v>
      </c>
      <c r="C8" s="45"/>
      <c r="D8" s="45"/>
      <c r="E8" s="45"/>
      <c r="F8" s="20"/>
      <c r="G8" s="1"/>
    </row>
    <row r="9" spans="1:7" x14ac:dyDescent="0.25">
      <c r="A9" s="1"/>
      <c r="B9" s="94" t="s">
        <v>23</v>
      </c>
      <c r="C9" s="95"/>
      <c r="D9" s="96"/>
      <c r="E9" s="7">
        <v>22283847.826148205</v>
      </c>
      <c r="F9" s="8" t="s">
        <v>3</v>
      </c>
      <c r="G9" s="1"/>
    </row>
    <row r="10" spans="1:7" ht="15" customHeight="1" x14ac:dyDescent="0.25">
      <c r="A10" s="1"/>
      <c r="B10" s="79" t="s">
        <v>45</v>
      </c>
      <c r="C10" s="80"/>
      <c r="D10" s="81"/>
      <c r="E10" s="7">
        <v>97475.162400000001</v>
      </c>
      <c r="F10" s="8" t="s">
        <v>3</v>
      </c>
      <c r="G10" s="1"/>
    </row>
    <row r="11" spans="1:7" ht="15" customHeight="1" x14ac:dyDescent="0.25">
      <c r="A11" s="1"/>
      <c r="B11" s="79" t="s">
        <v>46</v>
      </c>
      <c r="C11" s="80"/>
      <c r="D11" s="81"/>
      <c r="E11" s="9">
        <v>255676.01584800004</v>
      </c>
      <c r="F11" s="8" t="s">
        <v>3</v>
      </c>
      <c r="G11" s="1"/>
    </row>
    <row r="12" spans="1:7" x14ac:dyDescent="0.25">
      <c r="A12" s="1"/>
      <c r="B12" s="79" t="s">
        <v>30</v>
      </c>
      <c r="C12" s="80"/>
      <c r="D12" s="81"/>
      <c r="E12" s="9">
        <v>0</v>
      </c>
      <c r="F12" s="8" t="s">
        <v>3</v>
      </c>
      <c r="G12" s="1"/>
    </row>
    <row r="13" spans="1:7" x14ac:dyDescent="0.25">
      <c r="A13" s="1"/>
      <c r="B13" s="79" t="s">
        <v>29</v>
      </c>
      <c r="C13" s="80"/>
      <c r="D13" s="81"/>
      <c r="E13" s="9">
        <v>0</v>
      </c>
      <c r="F13" s="8" t="s">
        <v>3</v>
      </c>
      <c r="G13" s="1"/>
    </row>
    <row r="14" spans="1:7" x14ac:dyDescent="0.25">
      <c r="A14" s="1"/>
      <c r="B14" s="79" t="s">
        <v>159</v>
      </c>
      <c r="C14" s="80"/>
      <c r="D14" s="81"/>
      <c r="E14" s="9">
        <v>0</v>
      </c>
      <c r="F14" s="8" t="s">
        <v>3</v>
      </c>
      <c r="G14" s="1"/>
    </row>
    <row r="15" spans="1:7" x14ac:dyDescent="0.25">
      <c r="A15" s="1"/>
      <c r="B15" s="79" t="s">
        <v>160</v>
      </c>
      <c r="C15" s="80"/>
      <c r="D15" s="81"/>
      <c r="E15" s="9">
        <v>0</v>
      </c>
      <c r="F15" s="8" t="s">
        <v>3</v>
      </c>
      <c r="G15" s="1"/>
    </row>
    <row r="16" spans="1:7" x14ac:dyDescent="0.25">
      <c r="A16" s="1"/>
      <c r="B16" s="79" t="s">
        <v>18</v>
      </c>
      <c r="C16" s="80"/>
      <c r="D16" s="81"/>
      <c r="E16" s="9">
        <f>E9*'Fane 12. Nøgletal'!C11+SUM(E10:E15)*'Fane 12. Nøgletal'!C12</f>
        <v>383554.10647339019</v>
      </c>
      <c r="F16" s="8" t="s">
        <v>3</v>
      </c>
      <c r="G16" s="1"/>
    </row>
    <row r="17" spans="1:7" x14ac:dyDescent="0.25">
      <c r="A17" s="1"/>
      <c r="B17" s="79" t="s">
        <v>9</v>
      </c>
      <c r="C17" s="80"/>
      <c r="D17" s="81"/>
      <c r="E17" s="9">
        <f>-SUM(E9:E16)*'Fane 5. Individuelt eff. krav'!G9</f>
        <v>-246930.98908529684</v>
      </c>
      <c r="F17" s="8" t="s">
        <v>3</v>
      </c>
      <c r="G17" s="1"/>
    </row>
    <row r="18" spans="1:7" x14ac:dyDescent="0.25">
      <c r="A18" s="1"/>
      <c r="B18" s="79" t="s">
        <v>27</v>
      </c>
      <c r="C18" s="80"/>
      <c r="D18" s="81"/>
      <c r="E18" s="9">
        <f>-'Fane 4.1. Gen. krav - drift'!G25</f>
        <v>-233907.14181061863</v>
      </c>
      <c r="F18" s="8" t="s">
        <v>3</v>
      </c>
      <c r="G18" s="1"/>
    </row>
    <row r="19" spans="1:7" x14ac:dyDescent="0.25">
      <c r="A19" s="1"/>
      <c r="B19" s="79" t="s">
        <v>28</v>
      </c>
      <c r="C19" s="80"/>
      <c r="D19" s="81"/>
      <c r="E19" s="9">
        <f>-'Fane 4.2. Gen. krav - anlæg'!G25</f>
        <v>-106085.96318989585</v>
      </c>
      <c r="F19" s="8" t="s">
        <v>3</v>
      </c>
      <c r="G19" s="1"/>
    </row>
    <row r="20" spans="1:7" x14ac:dyDescent="0.25">
      <c r="A20" s="1"/>
      <c r="B20" s="82" t="s">
        <v>20</v>
      </c>
      <c r="C20" s="83"/>
      <c r="D20" s="84"/>
      <c r="E20" s="10">
        <f>SUM(E9:E19)</f>
        <v>22433629.016783781</v>
      </c>
      <c r="F20" s="11" t="s">
        <v>3</v>
      </c>
      <c r="G20" s="1"/>
    </row>
    <row r="21" spans="1:7" x14ac:dyDescent="0.25">
      <c r="A21" s="1"/>
      <c r="B21" s="91" t="s">
        <v>12</v>
      </c>
      <c r="C21" s="92"/>
      <c r="D21" s="92"/>
      <c r="E21" s="45"/>
      <c r="F21" s="20"/>
      <c r="G21" s="1"/>
    </row>
    <row r="22" spans="1:7" x14ac:dyDescent="0.25">
      <c r="A22" s="1"/>
      <c r="B22" s="85" t="s">
        <v>12</v>
      </c>
      <c r="C22" s="86"/>
      <c r="D22" s="87"/>
      <c r="E22" s="10">
        <v>11797157.00593188</v>
      </c>
      <c r="F22" s="11" t="s">
        <v>3</v>
      </c>
      <c r="G22" s="1"/>
    </row>
    <row r="23" spans="1:7" ht="15" customHeight="1" x14ac:dyDescent="0.25">
      <c r="A23" s="1"/>
      <c r="B23" s="91" t="s">
        <v>99</v>
      </c>
      <c r="C23" s="92"/>
      <c r="D23" s="92"/>
      <c r="E23" s="45"/>
      <c r="F23" s="45"/>
      <c r="G23" s="1"/>
    </row>
    <row r="24" spans="1:7" ht="14.25" customHeight="1" x14ac:dyDescent="0.25">
      <c r="A24" s="1"/>
      <c r="B24" s="76" t="s">
        <v>95</v>
      </c>
      <c r="C24" s="77"/>
      <c r="D24" s="78"/>
      <c r="E24" s="9">
        <v>0</v>
      </c>
      <c r="F24" s="8" t="s">
        <v>3</v>
      </c>
      <c r="G24" s="1"/>
    </row>
    <row r="25" spans="1:7" ht="14.25" customHeight="1" x14ac:dyDescent="0.25">
      <c r="A25" s="1"/>
      <c r="B25" s="76" t="s">
        <v>96</v>
      </c>
      <c r="C25" s="77"/>
      <c r="D25" s="78"/>
      <c r="E25" s="9">
        <v>0</v>
      </c>
      <c r="F25" s="8" t="s">
        <v>3</v>
      </c>
      <c r="G25" s="1"/>
    </row>
    <row r="26" spans="1:7" x14ac:dyDescent="0.25">
      <c r="A26" s="1"/>
      <c r="B26" s="88" t="s">
        <v>100</v>
      </c>
      <c r="C26" s="89"/>
      <c r="D26" s="89"/>
      <c r="E26" s="10">
        <v>0</v>
      </c>
      <c r="F26" s="11" t="s">
        <v>3</v>
      </c>
      <c r="G26" s="1"/>
    </row>
    <row r="27" spans="1:7" ht="14.25" customHeight="1" x14ac:dyDescent="0.25">
      <c r="A27" s="1"/>
      <c r="B27" s="44" t="s">
        <v>228</v>
      </c>
      <c r="C27" s="45"/>
      <c r="D27" s="45"/>
      <c r="E27" s="45"/>
      <c r="F27" s="45"/>
      <c r="G27" s="1"/>
    </row>
    <row r="28" spans="1:7" ht="13.15" customHeight="1" x14ac:dyDescent="0.25">
      <c r="A28" s="1"/>
      <c r="B28" s="88" t="s">
        <v>229</v>
      </c>
      <c r="C28" s="89"/>
      <c r="D28" s="90"/>
      <c r="E28" s="10">
        <v>-1377029</v>
      </c>
      <c r="F28" s="11" t="s">
        <v>3</v>
      </c>
      <c r="G28" s="1"/>
    </row>
    <row r="29" spans="1:7" x14ac:dyDescent="0.25">
      <c r="A29" s="1"/>
      <c r="B29" s="44" t="s">
        <v>230</v>
      </c>
      <c r="C29" s="45"/>
      <c r="D29" s="45"/>
      <c r="E29" s="45"/>
      <c r="F29" s="20"/>
      <c r="G29" s="1"/>
    </row>
    <row r="30" spans="1:7" ht="15" customHeight="1" x14ac:dyDescent="0.25">
      <c r="A30" s="1"/>
      <c r="B30" s="88" t="s">
        <v>231</v>
      </c>
      <c r="C30" s="89"/>
      <c r="D30" s="90"/>
      <c r="E30" s="10">
        <v>369327.55222962174</v>
      </c>
      <c r="F30" s="11" t="s">
        <v>3</v>
      </c>
      <c r="G30" s="1"/>
    </row>
    <row r="31" spans="1:7" x14ac:dyDescent="0.25">
      <c r="A31" s="1"/>
      <c r="B31" s="44" t="s">
        <v>232</v>
      </c>
      <c r="C31" s="45"/>
      <c r="D31" s="45"/>
      <c r="E31" s="45"/>
      <c r="F31" s="20"/>
      <c r="G31" s="1"/>
    </row>
    <row r="32" spans="1:7" x14ac:dyDescent="0.25">
      <c r="A32" s="1"/>
      <c r="B32" s="85" t="s">
        <v>233</v>
      </c>
      <c r="C32" s="86"/>
      <c r="D32" s="87"/>
      <c r="E32" s="10">
        <v>1714.7745564614306</v>
      </c>
      <c r="F32" s="11" t="s">
        <v>3</v>
      </c>
      <c r="G32" s="1"/>
    </row>
    <row r="33" spans="1:7" x14ac:dyDescent="0.25">
      <c r="A33" s="1"/>
      <c r="B33" s="44" t="s">
        <v>24</v>
      </c>
      <c r="C33" s="45"/>
      <c r="D33" s="45"/>
      <c r="E33" s="12">
        <f>SUM(E30,E26,E28,E22,E20,E32)</f>
        <v>33224799.349501748</v>
      </c>
      <c r="F33" s="13" t="s">
        <v>3</v>
      </c>
      <c r="G33" s="1"/>
    </row>
    <row r="34" spans="1:7" ht="28.15" customHeight="1" x14ac:dyDescent="0.25">
      <c r="A34" s="1"/>
      <c r="B34" s="76" t="s">
        <v>179</v>
      </c>
      <c r="C34" s="77"/>
      <c r="D34" s="77"/>
      <c r="E34" s="77"/>
      <c r="F34" s="78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Az3zbq80tUWpejui3Glh7lGIWVER32lcGu4dTA22gw/XZi6wP0kjfVoFD0mgKphAmPtgCC7N3t5VXclMeMBCrA==" saltValue="4SYHVUf9sI3MCj0sK87YaQ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4" t="s">
        <v>138</v>
      </c>
      <c r="C1" s="74"/>
      <c r="D1" s="74"/>
      <c r="E1" s="74"/>
      <c r="F1" s="74"/>
      <c r="G1" s="74"/>
      <c r="H1" s="74"/>
      <c r="I1" s="1"/>
    </row>
    <row r="2" spans="1:9" ht="15" customHeight="1" x14ac:dyDescent="0.25">
      <c r="A2" s="1"/>
      <c r="B2" s="74"/>
      <c r="C2" s="74"/>
      <c r="D2" s="74"/>
      <c r="E2" s="74"/>
      <c r="F2" s="74"/>
      <c r="G2" s="74"/>
      <c r="H2" s="74"/>
      <c r="I2" s="1"/>
    </row>
    <row r="3" spans="1:9" ht="15" customHeight="1" x14ac:dyDescent="0.25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25">
      <c r="A4" s="1"/>
      <c r="B4" s="97" t="s">
        <v>64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0" t="s">
        <v>53</v>
      </c>
      <c r="C5" s="101"/>
      <c r="D5" s="101"/>
      <c r="E5" s="101"/>
      <c r="F5" s="102"/>
      <c r="G5" s="24">
        <v>11764981.248599412</v>
      </c>
      <c r="H5" s="14" t="s">
        <v>3</v>
      </c>
      <c r="I5" s="1"/>
    </row>
    <row r="6" spans="1:9" x14ac:dyDescent="0.25">
      <c r="A6" s="1"/>
      <c r="B6" s="100" t="s">
        <v>54</v>
      </c>
      <c r="C6" s="101"/>
      <c r="D6" s="101"/>
      <c r="E6" s="101"/>
      <c r="F6" s="102"/>
      <c r="G6" s="24">
        <f>G5*'Fane 12. Nøgletal'!C27</f>
        <v>235299.62497198823</v>
      </c>
      <c r="H6" s="14" t="s">
        <v>3</v>
      </c>
      <c r="I6" s="1"/>
    </row>
    <row r="7" spans="1:9" x14ac:dyDescent="0.25">
      <c r="A7" s="1"/>
      <c r="B7" s="44"/>
      <c r="C7" s="45"/>
      <c r="D7" s="45"/>
      <c r="E7" s="45"/>
      <c r="F7" s="45"/>
      <c r="G7" s="4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65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0" t="s">
        <v>55</v>
      </c>
      <c r="C10" s="101"/>
      <c r="D10" s="101"/>
      <c r="E10" s="101"/>
      <c r="F10" s="102"/>
      <c r="G10" s="24">
        <f>(G5-G6)*(1+'Fane 12. Nøgletal'!C9)</f>
        <v>11676108.580247492</v>
      </c>
      <c r="H10" s="14" t="s">
        <v>3</v>
      </c>
      <c r="I10" s="1"/>
    </row>
    <row r="11" spans="1:9" x14ac:dyDescent="0.25">
      <c r="A11" s="1"/>
      <c r="B11" s="103" t="s">
        <v>56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25">
      <c r="A12" s="1"/>
      <c r="B12" s="100" t="s">
        <v>57</v>
      </c>
      <c r="C12" s="101"/>
      <c r="D12" s="101"/>
      <c r="E12" s="101"/>
      <c r="F12" s="102"/>
      <c r="G12" s="24">
        <f>(G10+G11)*'Fane 12. Nøgletal'!C27</f>
        <v>233522.17160494984</v>
      </c>
      <c r="H12" s="14" t="s">
        <v>3</v>
      </c>
      <c r="I12" s="1"/>
    </row>
    <row r="13" spans="1:9" x14ac:dyDescent="0.25">
      <c r="A13" s="1"/>
      <c r="B13" s="44"/>
      <c r="C13" s="45"/>
      <c r="D13" s="45"/>
      <c r="E13" s="45"/>
      <c r="F13" s="45"/>
      <c r="G13" s="4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7" t="s">
        <v>66</v>
      </c>
      <c r="C15" s="98"/>
      <c r="D15" s="98"/>
      <c r="E15" s="98"/>
      <c r="F15" s="98"/>
      <c r="G15" s="98"/>
      <c r="H15" s="99"/>
      <c r="I15" s="1"/>
    </row>
    <row r="16" spans="1:9" x14ac:dyDescent="0.25">
      <c r="A16" s="1"/>
      <c r="B16" s="100" t="s">
        <v>58</v>
      </c>
      <c r="C16" s="101"/>
      <c r="D16" s="101"/>
      <c r="E16" s="101"/>
      <c r="F16" s="102"/>
      <c r="G16" s="24">
        <f>(G10-G12)*(1+'Fane 12. Nøgletal'!C11)</f>
        <v>11635966.118948599</v>
      </c>
      <c r="H16" s="14" t="s">
        <v>3</v>
      </c>
      <c r="I16" s="1"/>
    </row>
    <row r="17" spans="1:9" x14ac:dyDescent="0.25">
      <c r="A17" s="1"/>
      <c r="B17" s="100" t="s">
        <v>148</v>
      </c>
      <c r="C17" s="101"/>
      <c r="D17" s="101"/>
      <c r="E17" s="101"/>
      <c r="F17" s="102"/>
      <c r="G17" s="24">
        <v>0</v>
      </c>
      <c r="H17" s="14" t="s">
        <v>3</v>
      </c>
      <c r="I17" s="1"/>
    </row>
    <row r="18" spans="1:9" x14ac:dyDescent="0.25">
      <c r="A18" s="1"/>
      <c r="B18" s="103" t="s">
        <v>59</v>
      </c>
      <c r="C18" s="104"/>
      <c r="D18" s="104"/>
      <c r="E18" s="104"/>
      <c r="F18" s="105"/>
      <c r="G18" s="24">
        <v>0</v>
      </c>
      <c r="H18" s="14" t="s">
        <v>3</v>
      </c>
      <c r="I18" s="1"/>
    </row>
    <row r="19" spans="1:9" x14ac:dyDescent="0.25">
      <c r="A19" s="1"/>
      <c r="B19" s="100" t="s">
        <v>60</v>
      </c>
      <c r="C19" s="101"/>
      <c r="D19" s="101"/>
      <c r="E19" s="101"/>
      <c r="F19" s="102"/>
      <c r="G19" s="24">
        <f>SUM(G16:G18)*'Fane 12. Nøgletal'!C27</f>
        <v>232719.32237897199</v>
      </c>
      <c r="H19" s="14" t="s">
        <v>3</v>
      </c>
      <c r="I19" s="1"/>
    </row>
    <row r="20" spans="1:9" x14ac:dyDescent="0.25">
      <c r="A20" s="1"/>
      <c r="B20" s="44"/>
      <c r="C20" s="45"/>
      <c r="D20" s="45"/>
      <c r="E20" s="45"/>
      <c r="F20" s="45"/>
      <c r="G20" s="4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67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0" t="s">
        <v>61</v>
      </c>
      <c r="C23" s="101"/>
      <c r="D23" s="101"/>
      <c r="E23" s="101"/>
      <c r="F23" s="102"/>
      <c r="G23" s="24">
        <f>(SUM(G16:G18)-G19)*(1+'Fane 12. Nøgletal'!C11)</f>
        <v>11595961.667431653</v>
      </c>
      <c r="H23" s="14" t="s">
        <v>3</v>
      </c>
      <c r="I23" s="1"/>
    </row>
    <row r="24" spans="1:9" x14ac:dyDescent="0.25">
      <c r="A24" s="1"/>
      <c r="B24" s="103" t="s">
        <v>62</v>
      </c>
      <c r="C24" s="104"/>
      <c r="D24" s="104"/>
      <c r="E24" s="104"/>
      <c r="F24" s="105"/>
      <c r="G24" s="24">
        <v>99395.42309928</v>
      </c>
      <c r="H24" s="14" t="s">
        <v>3</v>
      </c>
      <c r="I24" s="1"/>
    </row>
    <row r="25" spans="1:9" x14ac:dyDescent="0.25">
      <c r="A25" s="1"/>
      <c r="B25" s="100" t="s">
        <v>63</v>
      </c>
      <c r="C25" s="101"/>
      <c r="D25" s="101"/>
      <c r="E25" s="101"/>
      <c r="F25" s="102"/>
      <c r="G25" s="24">
        <f>(G23+G24)*'Fane 12. Nøgletal'!C27</f>
        <v>233907.14181061863</v>
      </c>
      <c r="H25" s="14" t="s">
        <v>3</v>
      </c>
      <c r="I25" s="1"/>
    </row>
    <row r="26" spans="1:9" x14ac:dyDescent="0.25">
      <c r="A26" s="1"/>
      <c r="B26" s="44"/>
      <c r="C26" s="45"/>
      <c r="D26" s="45"/>
      <c r="E26" s="45"/>
      <c r="F26" s="45"/>
      <c r="G26" s="4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222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0" t="s">
        <v>70</v>
      </c>
      <c r="C29" s="101"/>
      <c r="D29" s="101"/>
      <c r="E29" s="101"/>
      <c r="F29" s="102"/>
      <c r="G29" s="24">
        <f>(G23+G24-G25)*(1+'Fane 12. Nøgletal'!C13)</f>
        <v>11601279.638094701</v>
      </c>
      <c r="H29" s="14" t="s">
        <v>3</v>
      </c>
      <c r="I29" s="1"/>
    </row>
    <row r="30" spans="1:9" x14ac:dyDescent="0.25">
      <c r="A30" s="1"/>
      <c r="B30" s="100" t="s">
        <v>187</v>
      </c>
      <c r="C30" s="101"/>
      <c r="D30" s="101"/>
      <c r="E30" s="101"/>
      <c r="F30" s="102"/>
      <c r="G30" s="24">
        <f>SUM('Fane 2.1. Økonomisk ramme 2021'!C11,'Fane 2.1. Økonomisk ramme 2021'!C13,'Fane 2.1. Økonomisk ramme 2021'!C15)*(1+'Fane 12. Nøgletal'!C13)</f>
        <v>150860.71849463999</v>
      </c>
      <c r="H30" s="14" t="s">
        <v>3</v>
      </c>
      <c r="I30" s="1"/>
    </row>
    <row r="31" spans="1:9" x14ac:dyDescent="0.25">
      <c r="A31" s="1"/>
      <c r="B31" s="100" t="s">
        <v>199</v>
      </c>
      <c r="C31" s="101"/>
      <c r="D31" s="101"/>
      <c r="E31" s="101"/>
      <c r="F31" s="102"/>
      <c r="G31" s="24">
        <f>(G29+G30)*'Fane 12. Nøgletal'!C27</f>
        <v>235042.80713178683</v>
      </c>
      <c r="H31" s="14" t="s">
        <v>3</v>
      </c>
      <c r="I31" s="1"/>
    </row>
    <row r="32" spans="1:9" x14ac:dyDescent="0.25">
      <c r="A32" s="1"/>
      <c r="B32" s="44"/>
      <c r="C32" s="45"/>
      <c r="D32" s="45"/>
      <c r="E32" s="45"/>
      <c r="F32" s="45"/>
      <c r="G32" s="4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223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0" t="s">
        <v>90</v>
      </c>
      <c r="C35" s="101"/>
      <c r="D35" s="101"/>
      <c r="E35" s="101"/>
      <c r="F35" s="102"/>
      <c r="G35" s="24">
        <f>(G29+G30-G31)*(1+'Fane 12. Nøgletal'!C13)</f>
        <v>11657606.139560936</v>
      </c>
      <c r="H35" s="14" t="s">
        <v>3</v>
      </c>
      <c r="I35" s="1"/>
    </row>
    <row r="36" spans="1:9" x14ac:dyDescent="0.25">
      <c r="A36" s="1"/>
      <c r="B36" s="100" t="s">
        <v>102</v>
      </c>
      <c r="C36" s="101"/>
      <c r="D36" s="101"/>
      <c r="E36" s="101"/>
      <c r="F36" s="102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100" t="s">
        <v>224</v>
      </c>
      <c r="C37" s="101"/>
      <c r="D37" s="101"/>
      <c r="E37" s="101"/>
      <c r="F37" s="102"/>
      <c r="G37" s="24">
        <f>(G35+G36)*'Fane 12. Nøgletal'!C27</f>
        <v>233152.12279121872</v>
      </c>
      <c r="H37" s="14" t="s">
        <v>3</v>
      </c>
      <c r="I37" s="1"/>
    </row>
    <row r="38" spans="1:9" x14ac:dyDescent="0.25">
      <c r="A38" s="1"/>
      <c r="B38" s="44"/>
      <c r="C38" s="45"/>
      <c r="D38" s="45"/>
      <c r="E38" s="45"/>
      <c r="F38" s="45"/>
      <c r="G38" s="45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91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0" t="s">
        <v>89</v>
      </c>
      <c r="C41" s="101"/>
      <c r="D41" s="101"/>
      <c r="E41" s="101"/>
      <c r="F41" s="102"/>
      <c r="G41" s="24">
        <f>(G35+G36-G37)*(1+'Fane 12. Nøgletal'!C13)</f>
        <v>11563832.355774308</v>
      </c>
      <c r="H41" s="14" t="s">
        <v>3</v>
      </c>
      <c r="I41" s="1"/>
    </row>
    <row r="42" spans="1:9" x14ac:dyDescent="0.25">
      <c r="A42" s="1"/>
      <c r="B42" s="100" t="s">
        <v>103</v>
      </c>
      <c r="C42" s="101"/>
      <c r="D42" s="101"/>
      <c r="E42" s="101"/>
      <c r="F42" s="102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100" t="s">
        <v>71</v>
      </c>
      <c r="C43" s="101"/>
      <c r="D43" s="101"/>
      <c r="E43" s="101"/>
      <c r="F43" s="102"/>
      <c r="G43" s="24">
        <f>(G41+G42)*'Fane 12. Nøgletal'!C27</f>
        <v>231276.64711548615</v>
      </c>
      <c r="H43" s="14" t="s">
        <v>3</v>
      </c>
      <c r="I43" s="1"/>
    </row>
    <row r="44" spans="1:9" x14ac:dyDescent="0.25">
      <c r="A44" s="1"/>
      <c r="B44" s="44"/>
      <c r="C44" s="45"/>
      <c r="D44" s="45"/>
      <c r="E44" s="45"/>
      <c r="F44" s="45"/>
      <c r="G44" s="45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7" t="s">
        <v>188</v>
      </c>
      <c r="C46" s="98"/>
      <c r="D46" s="98"/>
      <c r="E46" s="98"/>
      <c r="F46" s="98"/>
      <c r="G46" s="98"/>
      <c r="H46" s="99"/>
      <c r="I46" s="1"/>
    </row>
    <row r="47" spans="1:9" x14ac:dyDescent="0.25">
      <c r="A47" s="1"/>
      <c r="B47" s="100" t="s">
        <v>189</v>
      </c>
      <c r="C47" s="101"/>
      <c r="D47" s="101"/>
      <c r="E47" s="101"/>
      <c r="F47" s="102"/>
      <c r="G47" s="24">
        <f>(G41+G42-G43)*(1+'Fane 12. Nøgletal'!C13)</f>
        <v>11470812.888304459</v>
      </c>
      <c r="H47" s="14" t="s">
        <v>3</v>
      </c>
      <c r="I47" s="1"/>
    </row>
    <row r="48" spans="1:9" x14ac:dyDescent="0.25">
      <c r="A48" s="1"/>
      <c r="B48" s="100" t="s">
        <v>190</v>
      </c>
      <c r="C48" s="101"/>
      <c r="D48" s="101"/>
      <c r="E48" s="101"/>
      <c r="F48" s="102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100" t="s">
        <v>191</v>
      </c>
      <c r="C49" s="101"/>
      <c r="D49" s="101"/>
      <c r="E49" s="101"/>
      <c r="F49" s="102"/>
      <c r="G49" s="24">
        <f>(G47+G48)*'Fane 12. Nøgletal'!C27</f>
        <v>229416.25776608917</v>
      </c>
      <c r="H49" s="14" t="s">
        <v>3</v>
      </c>
      <c r="I49" s="1"/>
    </row>
    <row r="50" spans="1:9" x14ac:dyDescent="0.25">
      <c r="A50" s="1"/>
      <c r="B50" s="44"/>
      <c r="C50" s="45"/>
      <c r="D50" s="45"/>
      <c r="E50" s="45"/>
      <c r="F50" s="45"/>
      <c r="G50" s="45"/>
      <c r="H50" s="20"/>
      <c r="I50" s="1"/>
    </row>
  </sheetData>
  <sheetProtection algorithmName="SHA-512" hashValue="pjNqtrhABcVmvQ+vCUmnbLmSSUYcXU9TDCqBPXuCkAhWDgTlZfAorg3HdOqpssI8ECeGaVpyUmdtv9RlFeZQpA==" saltValue="tE37NBhejRIynlynVXB8Gw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6" t="s">
        <v>139</v>
      </c>
      <c r="C2" s="106"/>
      <c r="D2" s="106"/>
      <c r="E2" s="106"/>
      <c r="F2" s="106"/>
      <c r="G2" s="106"/>
      <c r="H2" s="106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7" t="s">
        <v>68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0" t="s">
        <v>72</v>
      </c>
      <c r="C5" s="101"/>
      <c r="D5" s="101"/>
      <c r="E5" s="101"/>
      <c r="F5" s="102"/>
      <c r="G5" s="24">
        <v>10742705.135599928</v>
      </c>
      <c r="H5" s="14" t="s">
        <v>3</v>
      </c>
      <c r="I5" s="1"/>
    </row>
    <row r="6" spans="1:9" x14ac:dyDescent="0.25">
      <c r="A6" s="1"/>
      <c r="B6" s="100" t="s">
        <v>69</v>
      </c>
      <c r="C6" s="101"/>
      <c r="D6" s="101"/>
      <c r="E6" s="101"/>
      <c r="F6" s="102"/>
      <c r="G6" s="24">
        <f>G5*'Fane 12. Nøgletal'!C18</f>
        <v>97758.616733959352</v>
      </c>
      <c r="H6" s="14" t="s">
        <v>3</v>
      </c>
      <c r="I6" s="1"/>
    </row>
    <row r="7" spans="1:9" x14ac:dyDescent="0.25">
      <c r="A7" s="1"/>
      <c r="B7" s="44"/>
      <c r="C7" s="45"/>
      <c r="D7" s="45"/>
      <c r="E7" s="45"/>
      <c r="F7" s="45"/>
      <c r="G7" s="4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73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0" t="s">
        <v>74</v>
      </c>
      <c r="C10" s="101"/>
      <c r="D10" s="101"/>
      <c r="E10" s="101"/>
      <c r="F10" s="102"/>
      <c r="G10" s="24">
        <f>(G5-G6)*(1+'Fane 12. Nøgletal'!C9)</f>
        <v>10780137.339655567</v>
      </c>
      <c r="H10" s="14" t="s">
        <v>3</v>
      </c>
      <c r="I10" s="1"/>
    </row>
    <row r="11" spans="1:9" x14ac:dyDescent="0.25">
      <c r="A11" s="1"/>
      <c r="B11" s="103" t="s">
        <v>75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25">
      <c r="A12" s="1"/>
      <c r="B12" s="100" t="s">
        <v>76</v>
      </c>
      <c r="C12" s="101"/>
      <c r="D12" s="101"/>
      <c r="E12" s="101"/>
      <c r="F12" s="102"/>
      <c r="G12" s="24">
        <f>G10*'Fane 12. Nøgletal'!C18+G11*'Fane 12. Nøgletal'!C19</f>
        <v>98099.249790865666</v>
      </c>
      <c r="H12" s="14" t="s">
        <v>3</v>
      </c>
      <c r="I12" s="1"/>
    </row>
    <row r="13" spans="1:9" x14ac:dyDescent="0.25">
      <c r="A13" s="1"/>
      <c r="B13" s="44"/>
      <c r="C13" s="45"/>
      <c r="D13" s="45"/>
      <c r="E13" s="45"/>
      <c r="F13" s="45"/>
      <c r="G13" s="4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7" t="s">
        <v>77</v>
      </c>
      <c r="C15" s="98"/>
      <c r="D15" s="98"/>
      <c r="E15" s="98"/>
      <c r="F15" s="98"/>
      <c r="G15" s="98"/>
      <c r="H15" s="99"/>
      <c r="I15" s="1"/>
    </row>
    <row r="16" spans="1:9" x14ac:dyDescent="0.25">
      <c r="A16" s="1"/>
      <c r="B16" s="100" t="s">
        <v>78</v>
      </c>
      <c r="C16" s="101"/>
      <c r="D16" s="101"/>
      <c r="E16" s="101"/>
      <c r="F16" s="102"/>
      <c r="G16" s="24">
        <f>(G10+G11-G12)*(1+'Fane 12. Nøgletal'!C11)</f>
        <v>10862564.533583414</v>
      </c>
      <c r="H16" s="14" t="s">
        <v>3</v>
      </c>
      <c r="I16" s="1"/>
    </row>
    <row r="17" spans="1:9" x14ac:dyDescent="0.25">
      <c r="A17" s="1"/>
      <c r="B17" s="100" t="s">
        <v>149</v>
      </c>
      <c r="C17" s="101"/>
      <c r="D17" s="101"/>
      <c r="E17" s="101"/>
      <c r="F17" s="102"/>
      <c r="G17" s="24">
        <v>126438.15060442164</v>
      </c>
      <c r="H17" s="14" t="s">
        <v>3</v>
      </c>
      <c r="I17" s="1"/>
    </row>
    <row r="18" spans="1:9" x14ac:dyDescent="0.25">
      <c r="A18" s="1"/>
      <c r="B18" s="103" t="s">
        <v>79</v>
      </c>
      <c r="C18" s="104"/>
      <c r="D18" s="104"/>
      <c r="E18" s="104"/>
      <c r="F18" s="105"/>
      <c r="G18" s="24">
        <v>263110.67443717993</v>
      </c>
      <c r="H18" s="14" t="s">
        <v>3</v>
      </c>
      <c r="I18" s="1"/>
    </row>
    <row r="19" spans="1:9" x14ac:dyDescent="0.25">
      <c r="A19" s="1"/>
      <c r="B19" s="100" t="s">
        <v>80</v>
      </c>
      <c r="C19" s="101"/>
      <c r="D19" s="101"/>
      <c r="E19" s="101"/>
      <c r="F19" s="102"/>
      <c r="G19" s="24">
        <f>SUM(G16:G18)*'Fane 12. Nøgletal'!C20</f>
        <v>97893.386220037632</v>
      </c>
      <c r="H19" s="14" t="s">
        <v>3</v>
      </c>
      <c r="I19" s="1"/>
    </row>
    <row r="20" spans="1:9" x14ac:dyDescent="0.25">
      <c r="A20" s="1"/>
      <c r="B20" s="44"/>
      <c r="C20" s="45"/>
      <c r="D20" s="45"/>
      <c r="E20" s="45"/>
      <c r="F20" s="45"/>
      <c r="G20" s="4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81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0" t="s">
        <v>82</v>
      </c>
      <c r="C23" s="101"/>
      <c r="D23" s="101"/>
      <c r="E23" s="101"/>
      <c r="F23" s="102"/>
      <c r="G23" s="24">
        <f>(SUM(G16:G18)-G19)*(1+'Fane 12. Nøgletal'!C11)</f>
        <v>11342726.289938621</v>
      </c>
      <c r="H23" s="14" t="s">
        <v>3</v>
      </c>
      <c r="I23" s="1"/>
    </row>
    <row r="24" spans="1:9" x14ac:dyDescent="0.25">
      <c r="A24" s="1"/>
      <c r="B24" s="103" t="s">
        <v>83</v>
      </c>
      <c r="C24" s="104"/>
      <c r="D24" s="104"/>
      <c r="E24" s="104"/>
      <c r="F24" s="105"/>
      <c r="G24" s="24">
        <v>260712.83336020567</v>
      </c>
      <c r="H24" s="14" t="s">
        <v>3</v>
      </c>
      <c r="I24" s="1"/>
    </row>
    <row r="25" spans="1:9" x14ac:dyDescent="0.25">
      <c r="A25" s="1"/>
      <c r="B25" s="100" t="s">
        <v>84</v>
      </c>
      <c r="C25" s="101"/>
      <c r="D25" s="101"/>
      <c r="E25" s="101"/>
      <c r="F25" s="102"/>
      <c r="G25" s="24">
        <f>G23*'Fane 12. Nøgletal'!C20+G24*'Fane 12. Nøgletal'!C21</f>
        <v>106085.96318989585</v>
      </c>
      <c r="H25" s="14" t="s">
        <v>3</v>
      </c>
      <c r="I25" s="1"/>
    </row>
    <row r="26" spans="1:9" x14ac:dyDescent="0.25">
      <c r="A26" s="1"/>
      <c r="B26" s="44"/>
      <c r="C26" s="45"/>
      <c r="D26" s="45"/>
      <c r="E26" s="45"/>
      <c r="F26" s="45"/>
      <c r="G26" s="4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220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0" t="s">
        <v>85</v>
      </c>
      <c r="C29" s="101"/>
      <c r="D29" s="101"/>
      <c r="E29" s="101"/>
      <c r="F29" s="102"/>
      <c r="G29" s="24">
        <f>(G23+G24-G25)*(1+'Fane 12. Nøgletal'!C13)</f>
        <v>11637620.86866226</v>
      </c>
      <c r="H29" s="14" t="s">
        <v>3</v>
      </c>
      <c r="I29" s="1"/>
    </row>
    <row r="30" spans="1:9" x14ac:dyDescent="0.25">
      <c r="A30" s="1"/>
      <c r="B30" s="100" t="s">
        <v>192</v>
      </c>
      <c r="C30" s="101"/>
      <c r="D30" s="101"/>
      <c r="E30" s="101"/>
      <c r="F30" s="102"/>
      <c r="G30" s="24">
        <f>SUM('Fane 2.1. Økonomisk ramme 2021'!C12,'Fane 2.1. Økonomisk ramme 2021'!C14,'Fane 2.1. Økonomisk ramme 2021'!C16)*(1+'Fane 12. Nøgletal'!C13)</f>
        <v>467384.18824330799</v>
      </c>
      <c r="H30" s="14" t="s">
        <v>3</v>
      </c>
      <c r="I30" s="1"/>
    </row>
    <row r="31" spans="1:9" x14ac:dyDescent="0.25">
      <c r="A31" s="1"/>
      <c r="B31" s="100" t="s">
        <v>221</v>
      </c>
      <c r="C31" s="101"/>
      <c r="D31" s="101"/>
      <c r="E31" s="101"/>
      <c r="F31" s="102"/>
      <c r="G31" s="24">
        <f>(G29+G30)*'Fane 12. Nøgletal'!C22</f>
        <v>332887.63906490314</v>
      </c>
      <c r="H31" s="14" t="s">
        <v>3</v>
      </c>
      <c r="I31" s="1"/>
    </row>
    <row r="32" spans="1:9" x14ac:dyDescent="0.25">
      <c r="A32" s="1"/>
      <c r="B32" s="44"/>
      <c r="C32" s="45"/>
      <c r="D32" s="45"/>
      <c r="E32" s="45"/>
      <c r="F32" s="45"/>
      <c r="G32" s="4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225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0" t="s">
        <v>88</v>
      </c>
      <c r="C35" s="101"/>
      <c r="D35" s="101"/>
      <c r="E35" s="101"/>
      <c r="F35" s="102"/>
      <c r="G35" s="24">
        <f>(G29+G30-G31)*(1+'Fane 12. Nøgletal'!C13)</f>
        <v>11915737.250338322</v>
      </c>
      <c r="H35" s="14" t="s">
        <v>3</v>
      </c>
      <c r="I35" s="1"/>
    </row>
    <row r="36" spans="1:9" x14ac:dyDescent="0.25">
      <c r="A36" s="1"/>
      <c r="B36" s="100" t="s">
        <v>107</v>
      </c>
      <c r="C36" s="101"/>
      <c r="D36" s="101"/>
      <c r="E36" s="101"/>
      <c r="F36" s="102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100" t="s">
        <v>226</v>
      </c>
      <c r="C37" s="101"/>
      <c r="D37" s="101"/>
      <c r="E37" s="101"/>
      <c r="F37" s="102"/>
      <c r="G37" s="24">
        <f>(G35+G36)*'Fane 12. Nøgletal'!C22</f>
        <v>327682.77438430383</v>
      </c>
      <c r="H37" s="14" t="s">
        <v>3</v>
      </c>
      <c r="I37" s="1"/>
    </row>
    <row r="38" spans="1:9" x14ac:dyDescent="0.25">
      <c r="A38" s="1"/>
      <c r="B38" s="44"/>
      <c r="C38" s="45"/>
      <c r="D38" s="45"/>
      <c r="E38" s="45"/>
      <c r="F38" s="45"/>
      <c r="G38" s="45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92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0" t="s">
        <v>87</v>
      </c>
      <c r="C41" s="101"/>
      <c r="D41" s="101"/>
      <c r="E41" s="101"/>
      <c r="F41" s="102"/>
      <c r="G41" s="24">
        <f>(G35+G36-G37)*(1+'Fane 12. Nøgletal'!C13)</f>
        <v>11729428.740560658</v>
      </c>
      <c r="H41" s="14" t="s">
        <v>3</v>
      </c>
      <c r="I41" s="1"/>
    </row>
    <row r="42" spans="1:9" x14ac:dyDescent="0.25">
      <c r="A42" s="1"/>
      <c r="B42" s="100" t="s">
        <v>108</v>
      </c>
      <c r="C42" s="101"/>
      <c r="D42" s="101"/>
      <c r="E42" s="101"/>
      <c r="F42" s="102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100" t="s">
        <v>86</v>
      </c>
      <c r="C43" s="101"/>
      <c r="D43" s="101"/>
      <c r="E43" s="101"/>
      <c r="F43" s="102"/>
      <c r="G43" s="24">
        <f>(G41+G42)*'Fane 12. Nøgletal'!C22</f>
        <v>322559.29036541813</v>
      </c>
      <c r="H43" s="14" t="s">
        <v>3</v>
      </c>
      <c r="I43" s="1"/>
    </row>
    <row r="44" spans="1:9" x14ac:dyDescent="0.25">
      <c r="A44" s="1"/>
      <c r="B44" s="44"/>
      <c r="C44" s="45"/>
      <c r="D44" s="45"/>
      <c r="E44" s="45"/>
      <c r="F44" s="45"/>
      <c r="G44" s="45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7" t="s">
        <v>193</v>
      </c>
      <c r="C46" s="98"/>
      <c r="D46" s="98"/>
      <c r="E46" s="98"/>
      <c r="F46" s="98"/>
      <c r="G46" s="98"/>
      <c r="H46" s="99"/>
      <c r="I46" s="1"/>
    </row>
    <row r="47" spans="1:9" x14ac:dyDescent="0.25">
      <c r="A47" s="1"/>
      <c r="B47" s="100" t="s">
        <v>194</v>
      </c>
      <c r="C47" s="101"/>
      <c r="D47" s="101"/>
      <c r="E47" s="101"/>
      <c r="F47" s="102"/>
      <c r="G47" s="24">
        <f>(G41+G42-G43)*(1+'Fane 12. Nøgletal'!C13)</f>
        <v>11546033.257487621</v>
      </c>
      <c r="H47" s="14" t="s">
        <v>3</v>
      </c>
      <c r="I47" s="1"/>
    </row>
    <row r="48" spans="1:9" x14ac:dyDescent="0.25">
      <c r="A48" s="1"/>
      <c r="B48" s="100" t="s">
        <v>195</v>
      </c>
      <c r="C48" s="101"/>
      <c r="D48" s="101"/>
      <c r="E48" s="101"/>
      <c r="F48" s="102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100" t="s">
        <v>196</v>
      </c>
      <c r="C49" s="101"/>
      <c r="D49" s="101"/>
      <c r="E49" s="101"/>
      <c r="F49" s="102"/>
      <c r="G49" s="24">
        <f>(G47+G48)*'Fane 12. Nøgletal'!C22</f>
        <v>317515.91458090959</v>
      </c>
      <c r="H49" s="14" t="s">
        <v>3</v>
      </c>
      <c r="I49" s="1"/>
    </row>
    <row r="50" spans="1:9" x14ac:dyDescent="0.25">
      <c r="A50" s="1"/>
      <c r="B50" s="44"/>
      <c r="C50" s="45"/>
      <c r="D50" s="45"/>
      <c r="E50" s="45"/>
      <c r="F50" s="45"/>
      <c r="G50" s="45"/>
      <c r="H50" s="20"/>
      <c r="I50" s="1"/>
    </row>
  </sheetData>
  <sheetProtection algorithmName="SHA-512" hashValue="vBE+U0GGfNm6Bq4tQqKe3DS2TfgPVaWJ8p5aEBIutRyYX4oFHf7mbIRjphuM4EJ4ynjTBO8NQ07HDIy63UYJfA==" saltValue="wgbXAz4bsuVRFOL0pAx0LQ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101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124</v>
      </c>
      <c r="C9" s="101"/>
      <c r="D9" s="101"/>
      <c r="E9" s="101"/>
      <c r="F9" s="102"/>
      <c r="G9" s="23">
        <v>1.0726544575017342E-2</v>
      </c>
      <c r="H9" s="14"/>
      <c r="I9" s="1"/>
    </row>
    <row r="10" spans="1:9" x14ac:dyDescent="0.25">
      <c r="A10" s="1"/>
      <c r="B10" s="100" t="s">
        <v>181</v>
      </c>
      <c r="C10" s="101"/>
      <c r="D10" s="101"/>
      <c r="E10" s="101"/>
      <c r="F10" s="102"/>
      <c r="G10" s="23">
        <v>1.0111611622571424E-2</v>
      </c>
      <c r="H10" s="14"/>
      <c r="I10" s="1"/>
    </row>
    <row r="11" spans="1:9" x14ac:dyDescent="0.25">
      <c r="A11" s="1"/>
      <c r="B11" s="44"/>
      <c r="C11" s="45"/>
      <c r="D11" s="45"/>
      <c r="E11" s="45"/>
      <c r="F11" s="45"/>
      <c r="G11" s="45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7" t="s">
        <v>227</v>
      </c>
      <c r="C13" s="107"/>
      <c r="D13" s="107"/>
      <c r="E13" s="107"/>
      <c r="F13" s="107"/>
      <c r="G13" s="107"/>
      <c r="H13" s="107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1/uip7DGslbY61rDiX+ONUYI56llSQKmNWOTWN/4qzWBEFjJbMv0VMZFv8fvqQxAnHL8YXbzZ8AG3VRGl9aTZw==" saltValue="OApRAkFlOSB0nhrRkxh2b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2020-10-29T12:19:01Z</dcterms:modified>
</cp:coreProperties>
</file>