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Aarhus Vand AS (V220)\ØR2023\"/>
    </mc:Choice>
  </mc:AlternateContent>
  <xr:revisionPtr revIDLastSave="0" documentId="13_ncr:1_{F0370C10-2037-4C44-B442-330B0553EA3D}" xr6:coauthVersionLast="36" xr6:coauthVersionMax="36" xr10:uidLastSave="{00000000-0000-0000-0000-000000000000}"/>
  <bookViews>
    <workbookView xWindow="3120" yWindow="990" windowWidth="12750" windowHeight="4620" tabRatio="872" activeTab="2" xr2:uid="{00000000-000D-0000-FFFF-FFFF0000000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91029"/>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7" i="19"/>
  <c r="C18" i="19" l="1"/>
  <c r="F11" i="11" l="1"/>
  <c r="E10" i="37" s="1"/>
  <c r="C10" i="37"/>
  <c r="C15" i="37" s="1"/>
  <c r="C16" i="37" s="1"/>
  <c r="C15" i="23" l="1"/>
  <c r="C15" i="22" l="1"/>
  <c r="C15" i="15"/>
  <c r="C12" i="29"/>
  <c r="G36" i="36" l="1"/>
  <c r="G36" i="30"/>
  <c r="G6" i="30" l="1"/>
  <c r="E13" i="39" l="1"/>
  <c r="C13" i="39"/>
  <c r="C23" i="2" s="1"/>
  <c r="C25" i="2" s="1"/>
  <c r="G10" i="30" l="1"/>
  <c r="G12" i="30" s="1"/>
  <c r="E15" i="37" l="1"/>
  <c r="E16"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<sst xmlns="http://schemas.openxmlformats.org/spreadsheetml/2006/main" count="524" uniqueCount="259">
  <si>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</si>
  <si>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</si>
  <si>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</si>
  <si>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</si>
  <si>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</si>
  <si>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</si>
  <si>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</si>
  <si>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</si>
  <si>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</si>
  <si>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</si>
  <si>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</si>
  <si>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</si>
  <si>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</si>
  <si>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</si>
  <si>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</si>
  <si>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</si>
  <si>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</si>
  <si>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</si>
  <si>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</si>
  <si>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</si>
  <si>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</si>
  <si>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</si>
  <si>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</si>
  <si>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</si>
  <si>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</si>
  <si>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</si>
  <si>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</si>
  <si>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</si>
  <si>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</si>
  <si>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</si>
  <si>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</si>
  <si>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</si>
  <si>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</si>
  <si>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</si>
  <si>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</si>
  <si>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</si>
  <si>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</si>
  <si>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</si>
  <si>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</si>
  <si>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</si>
  <si>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</si>
  <si>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</si>
  <si>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</si>
  <si>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</si>
  <si>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</si>
  <si>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</si>
  <si>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</si>
  <si>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</si>
  <si>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</si>
  <si>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</si>
  <si>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</si>
  <si>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</si>
  <si>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</si>
  <si>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</si>
  <si>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</si>
  <si>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</si>
  <si>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</si>
  <si>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</si>
  <si>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</si>
  <si>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</si>
  <si>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</si>
  <si>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</si>
  <si>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</si>
  <si>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</si>
  <si>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</si>
  <si>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</si>
  <si>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</si>
  <si>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</si>
  <si>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</si>
  <si>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</si>
  <si>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</si>
  <si>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</si>
  <si>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</si>
  <si>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</si>
  <si>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</si>
  <si>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</si>
  <si>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</si>
  <si>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</si>
  <si>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</si>
  <si>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</si>
  <si>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</si>
  <si>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</si>
  <si>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</si>
  <si>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</si>
  <si>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</si>
  <si>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</si>
  <si>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</si>
  <si>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</si>
  <si>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</si>
  <si>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</si>
  <si>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</si>
  <si>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</si>
  <si>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</si>
  <si>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</si>
  <si>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</si>
  <si>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</si>
  <si>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</si>
  <si>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</si>
  <si>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</si>
  <si>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</si>
  <si>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</si>
  <si>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</si>
  <si>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</si>
  <si>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</si>
  <si>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</si>
  <si>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</si>
  <si>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</si>
  <si>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</si>
  <si>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</si>
  <si>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</si>
  <si>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</si>
  <si>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</si>
  <si>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</si>
  <si>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</si>
  <si>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</si>
  <si>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</si>
  <si>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</si>
  <si>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</si>
  <si>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</si>
  <si>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</si>
  <si>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</si>
  <si>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</si>
  <si>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</si>
  <si>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</si>
  <si>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</si>
  <si>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</si>
  <si>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</si>
  <si>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</si>
  <si>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</si>
  <si>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</si>
  <si>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</si>
  <si>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</si>
  <si>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</si>
  <si>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</si>
  <si>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</si>
  <si>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</si>
  <si>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</si>
  <si>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</si>
  <si>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</si>
  <si>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</si>
  <si>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</si>
  <si>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</si>
  <si>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</si>
  <si>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</si>
  <si>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</si>
  <si>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</si>
  <si>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</si>
  <si>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</si>
  <si>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</si>
  <si>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</si>
  <si>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</si>
  <si>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</si>
  <si>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</si>
  <si>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</si>
  <si>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</si>
  <si>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</si>
  <si>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</si>
  <si>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</si>
  <si>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</si>
  <si>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</si>
  <si>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</si>
  <si>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</si>
  <si>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</si>
  <si>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</si>
  <si>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</si>
  <si>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</si>
  <si>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</si>
  <si>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</si>
  <si>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</si>
  <si>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</si>
  <si>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</si>
  <si>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</si>
  <si>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</si>
  <si>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</si>
  <si>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</si>
  <si>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</si>
  <si>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</si>
  <si>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</si>
  <si>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</si>
  <si>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</si>
  <si>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</si>
  <si>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</si>
  <si>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</si>
  <si>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</si>
  <si>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</si>
  <si>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</si>
  <si>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</si>
  <si>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</si>
  <si>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</si>
  <si>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</si>
  <si>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</si>
  <si>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</si>
  <si>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</si>
  <si>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</si>
  <si>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</si>
  <si>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</si>
  <si>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</si>
  <si>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</si>
  <si>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</si>
  <si>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</si>
  <si>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</si>
  <si>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</si>
  <si>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</si>
  <si>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</si>
  <si>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</si>
  <si>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</si>
  <si>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</si>
  <si>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</si>
  <si>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</si>
  <si>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</si>
  <si>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</si>
  <si>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</si>
  <si>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</si>
  <si>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</si>
  <si>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</si>
  <si>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</si>
  <si>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</si>
  <si>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</si>
  <si>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</si>
  <si>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</si>
  <si>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</si>
  <si>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</si>
  <si>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</si>
  <si>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</si>
  <si>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</si>
  <si>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</si>
  <si>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</si>
  <si>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</si>
  <si>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</si>
  <si>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</si>
  <si>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</si>
  <si>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</si>
  <si>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</si>
  <si>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</si>
  <si>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</si>
  <si>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Tjenestemandspensioner</t>
  </si>
  <si>
    <t>Erstatninger</t>
  </si>
  <si>
    <t>Vandsamarbejde etableret i medfør af § 52b i vandforsyningsloven</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</si>
  <si>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</si>
  <si>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</si>
  <si>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</si>
  <si>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</si>
  <si>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</si>
  <si>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</si>
  <si>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</si>
  <si>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</si>
  <si>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</si>
  <si>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</si>
  <si>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</si>
  <si>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</si>
  <si>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</si>
  <si>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</si>
  <si>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</si>
  <si>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</si>
  <si>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Indvindingstilladelse</t>
  </si>
  <si>
    <t>Resultat af kontrol med overholdelse af den økonomiske ramme for 2021</t>
  </si>
  <si>
    <t>Strukturplan</t>
  </si>
  <si>
    <t>Flytning af ledninger</t>
  </si>
  <si>
    <t>Udvidelse af forsyningsområdet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</si>
</sst>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5" t="s">
        <v>4</v>
      </c>
      <c r="E6" s="85"/>
      <c r="F6" s="85"/>
      <c r="G6" s="85"/>
      <c r="H6" s="3"/>
      <c r="I6" s="1"/>
    </row>
    <row r="7" spans="1:9" ht="15" customHeight="1" x14ac:dyDescent="0.25">
      <c r="A7" s="1"/>
      <c r="B7" s="1"/>
      <c r="C7" s="3"/>
      <c r="D7" s="85"/>
      <c r="E7" s="85"/>
      <c r="F7" s="85"/>
      <c r="G7" s="85"/>
      <c r="H7" s="3"/>
      <c r="I7" s="1"/>
    </row>
    <row r="8" spans="1:9" ht="15.75" x14ac:dyDescent="0.25">
      <c r="A8" s="1"/>
      <c r="B8" s="1"/>
      <c r="C8" s="4"/>
      <c r="D8" s="90" t="s">
        <v>194</v>
      </c>
      <c r="E8" s="90"/>
      <c r="F8" s="90"/>
      <c r="G8" s="9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2" t="s">
        <v>161</v>
      </c>
      <c r="E13" s="83"/>
      <c r="F13" s="83"/>
      <c r="G13" s="84"/>
      <c r="H13" s="1"/>
      <c r="I13" s="1"/>
    </row>
    <row r="14" spans="1:9" x14ac:dyDescent="0.25">
      <c r="A14" s="1"/>
      <c r="B14" s="1"/>
      <c r="C14" s="6" t="s">
        <v>14</v>
      </c>
      <c r="D14" s="82" t="s">
        <v>204</v>
      </c>
      <c r="E14" s="83"/>
      <c r="F14" s="83"/>
      <c r="G14" s="84"/>
      <c r="H14" s="1"/>
      <c r="I14" s="1"/>
    </row>
    <row r="15" spans="1:9" x14ac:dyDescent="0.25">
      <c r="A15" s="1"/>
      <c r="B15" s="1"/>
      <c r="C15" s="6" t="s">
        <v>32</v>
      </c>
      <c r="D15" s="82" t="s">
        <v>137</v>
      </c>
      <c r="E15" s="83"/>
      <c r="F15" s="83"/>
      <c r="G15" s="84"/>
      <c r="H15" s="1"/>
      <c r="I15" s="1"/>
    </row>
    <row r="16" spans="1:9" x14ac:dyDescent="0.25">
      <c r="A16" s="1"/>
      <c r="B16" s="1"/>
      <c r="C16" s="6" t="s">
        <v>33</v>
      </c>
      <c r="D16" s="82" t="s">
        <v>162</v>
      </c>
      <c r="E16" s="83"/>
      <c r="F16" s="83"/>
      <c r="G16" s="84"/>
      <c r="H16" s="1"/>
      <c r="I16" s="1"/>
    </row>
    <row r="17" spans="1:9" x14ac:dyDescent="0.25">
      <c r="A17" s="1"/>
      <c r="B17" s="1"/>
      <c r="C17" s="6" t="s">
        <v>110</v>
      </c>
      <c r="D17" s="82" t="s">
        <v>163</v>
      </c>
      <c r="E17" s="83"/>
      <c r="F17" s="83"/>
      <c r="G17" s="84"/>
      <c r="H17" s="1"/>
      <c r="I17" s="1"/>
    </row>
    <row r="18" spans="1:9" x14ac:dyDescent="0.25">
      <c r="A18" s="1"/>
      <c r="B18" s="1"/>
      <c r="C18" s="6" t="s">
        <v>94</v>
      </c>
      <c r="D18" s="91" t="s">
        <v>86</v>
      </c>
      <c r="E18" s="92"/>
      <c r="F18" s="92"/>
      <c r="G18" s="93"/>
      <c r="H18" s="1"/>
      <c r="I18" s="1"/>
    </row>
    <row r="19" spans="1:9" x14ac:dyDescent="0.25">
      <c r="A19" s="1"/>
      <c r="B19" s="1"/>
      <c r="C19" s="6" t="s">
        <v>95</v>
      </c>
      <c r="D19" s="91" t="s">
        <v>87</v>
      </c>
      <c r="E19" s="92"/>
      <c r="F19" s="92"/>
      <c r="G19" s="93"/>
      <c r="H19" s="1"/>
      <c r="I19" s="1"/>
    </row>
    <row r="20" spans="1:9" x14ac:dyDescent="0.25">
      <c r="A20" s="1"/>
      <c r="B20" s="1"/>
      <c r="C20" s="6" t="s">
        <v>7</v>
      </c>
      <c r="D20" s="91" t="s">
        <v>9</v>
      </c>
      <c r="E20" s="92"/>
      <c r="F20" s="92"/>
      <c r="G20" s="93"/>
      <c r="H20" s="1"/>
      <c r="I20" s="1"/>
    </row>
    <row r="21" spans="1:9" x14ac:dyDescent="0.25">
      <c r="A21" s="1"/>
      <c r="B21" s="1"/>
      <c r="C21" s="6" t="s">
        <v>96</v>
      </c>
      <c r="D21" s="97" t="s">
        <v>11</v>
      </c>
      <c r="E21" s="98"/>
      <c r="F21" s="98"/>
      <c r="G21" s="99"/>
      <c r="H21" s="1"/>
      <c r="I21" s="1"/>
    </row>
    <row r="22" spans="1:9" x14ac:dyDescent="0.25">
      <c r="A22" s="1"/>
      <c r="B22" s="1"/>
      <c r="C22" s="6" t="s">
        <v>78</v>
      </c>
      <c r="D22" s="86" t="s">
        <v>164</v>
      </c>
      <c r="E22" s="87"/>
      <c r="F22" s="87"/>
      <c r="G22" s="88"/>
      <c r="H22" s="1"/>
      <c r="I22" s="1"/>
    </row>
    <row r="23" spans="1:9" x14ac:dyDescent="0.25">
      <c r="A23" s="1"/>
      <c r="B23" s="1"/>
      <c r="C23" s="6" t="s">
        <v>8</v>
      </c>
      <c r="D23" s="86" t="s">
        <v>219</v>
      </c>
      <c r="E23" s="87"/>
      <c r="F23" s="87"/>
      <c r="G23" s="88"/>
      <c r="H23" s="1"/>
      <c r="I23" s="1"/>
    </row>
    <row r="24" spans="1:9" x14ac:dyDescent="0.25">
      <c r="A24" s="1"/>
      <c r="B24" s="1"/>
      <c r="C24" s="6" t="s">
        <v>215</v>
      </c>
      <c r="D24" s="86" t="s">
        <v>205</v>
      </c>
      <c r="E24" s="87"/>
      <c r="F24" s="87"/>
      <c r="G24" s="88"/>
      <c r="H24" s="1"/>
      <c r="I24" s="1"/>
    </row>
    <row r="25" spans="1:9" x14ac:dyDescent="0.25">
      <c r="A25" s="1"/>
      <c r="B25" s="1"/>
      <c r="C25" s="6" t="s">
        <v>216</v>
      </c>
      <c r="D25" s="86" t="s">
        <v>79</v>
      </c>
      <c r="E25" s="87"/>
      <c r="F25" s="87"/>
      <c r="G25" s="88"/>
      <c r="H25" s="1"/>
      <c r="I25" s="1"/>
    </row>
    <row r="26" spans="1:9" x14ac:dyDescent="0.25">
      <c r="A26" s="1"/>
      <c r="B26" s="1"/>
      <c r="C26" s="6" t="s">
        <v>217</v>
      </c>
      <c r="D26" s="86" t="s">
        <v>80</v>
      </c>
      <c r="E26" s="87"/>
      <c r="F26" s="87"/>
      <c r="G26" s="88"/>
      <c r="H26" s="1"/>
      <c r="I26" s="1"/>
    </row>
    <row r="27" spans="1:9" x14ac:dyDescent="0.25">
      <c r="A27" s="1"/>
      <c r="B27" s="1"/>
      <c r="C27" s="6" t="s">
        <v>97</v>
      </c>
      <c r="D27" s="86" t="s">
        <v>111</v>
      </c>
      <c r="E27" s="87"/>
      <c r="F27" s="87"/>
      <c r="G27" s="88"/>
      <c r="H27" s="1"/>
      <c r="I27" s="1"/>
    </row>
    <row r="28" spans="1:9" x14ac:dyDescent="0.25">
      <c r="A28" s="1"/>
      <c r="B28" s="1"/>
      <c r="C28" s="6" t="s">
        <v>91</v>
      </c>
      <c r="D28" s="86" t="s">
        <v>34</v>
      </c>
      <c r="E28" s="87"/>
      <c r="F28" s="87"/>
      <c r="G28" s="88"/>
      <c r="H28" s="1"/>
      <c r="I28" s="1"/>
    </row>
    <row r="29" spans="1:9" x14ac:dyDescent="0.25">
      <c r="A29" s="1"/>
      <c r="B29" s="1"/>
      <c r="C29" s="6" t="s">
        <v>218</v>
      </c>
      <c r="D29" s="94" t="s">
        <v>92</v>
      </c>
      <c r="E29" s="95"/>
      <c r="F29" s="95"/>
      <c r="G29" s="9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lTd/wpv2yPxeTm+Iv0yrI+OVtR6fgDFuqbczZjhXkNe60A62sfbyPKmOz96dugsrbiFnrh02ZgYGuq7ctVUA==" saltValue="jX9aRfFntvIOswjjW0seh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21:G21" location="'Fane 6. Ikke-påvirkelige omk.'!A1" display="Ikke-påvirkelige omkostninger" xr:uid="{00000000-0004-0000-0000-000007000000}"/>
    <hyperlink ref="D22:G22" location="'Fane 7. Kontrol af ØR2021'!A1" display="Kontrol af den økonomiske ramme for 2021"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2'!A1" display="Omkostninger i ØR2022"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0" t="s">
        <v>100</v>
      </c>
      <c r="C3" s="100"/>
      <c r="D3" s="100"/>
      <c r="E3" s="1"/>
      <c r="F3" s="1"/>
    </row>
    <row r="4" spans="1:6" ht="15" customHeight="1" x14ac:dyDescent="0.25">
      <c r="A4" s="1"/>
      <c r="B4" s="100"/>
      <c r="C4" s="100"/>
      <c r="D4" s="10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9" t="s">
        <v>181</v>
      </c>
      <c r="C8" s="120"/>
      <c r="D8" s="121"/>
      <c r="E8" s="1"/>
      <c r="F8" s="1"/>
    </row>
    <row r="9" spans="1:6" ht="15" customHeight="1" x14ac:dyDescent="0.25">
      <c r="A9" s="1"/>
      <c r="B9" s="33" t="s">
        <v>30</v>
      </c>
      <c r="C9" s="11" t="s">
        <v>212</v>
      </c>
      <c r="D9" s="11"/>
      <c r="E9" s="1"/>
      <c r="F9" s="1"/>
    </row>
    <row r="10" spans="1:6" x14ac:dyDescent="0.25">
      <c r="A10" s="1"/>
      <c r="B10" s="79" t="s">
        <v>231</v>
      </c>
      <c r="C10" s="9">
        <v>92003219</v>
      </c>
      <c r="D10" s="14" t="s">
        <v>3</v>
      </c>
      <c r="E10" s="1"/>
      <c r="F10" s="1"/>
    </row>
    <row r="11" spans="1:6" x14ac:dyDescent="0.25">
      <c r="A11" s="1"/>
      <c r="B11" s="79" t="s">
        <v>232</v>
      </c>
      <c r="C11" s="9">
        <v>449160</v>
      </c>
      <c r="D11" s="14" t="s">
        <v>3</v>
      </c>
      <c r="E11" s="1"/>
      <c r="F11" s="1"/>
    </row>
    <row r="12" spans="1:6" x14ac:dyDescent="0.25">
      <c r="A12" s="1"/>
      <c r="B12" s="79" t="s">
        <v>233</v>
      </c>
      <c r="C12" s="9">
        <v>290920</v>
      </c>
      <c r="D12" s="14" t="s">
        <v>3</v>
      </c>
      <c r="E12" s="1"/>
      <c r="F12" s="1"/>
    </row>
    <row r="13" spans="1:6" x14ac:dyDescent="0.25">
      <c r="A13" s="1"/>
      <c r="B13" s="79" t="s">
        <v>234</v>
      </c>
      <c r="C13" s="9">
        <v>656478</v>
      </c>
      <c r="D13" s="14" t="s">
        <v>3</v>
      </c>
      <c r="E13" s="1"/>
      <c r="F13" s="1"/>
    </row>
    <row r="14" spans="1:6" x14ac:dyDescent="0.25">
      <c r="A14" s="1"/>
      <c r="B14" s="79" t="s">
        <v>235</v>
      </c>
      <c r="C14" s="9">
        <v>9725632</v>
      </c>
      <c r="D14" s="14" t="s">
        <v>3</v>
      </c>
      <c r="E14" s="1"/>
      <c r="F14" s="1"/>
    </row>
    <row r="15" spans="1:6" x14ac:dyDescent="0.25">
      <c r="A15" s="1"/>
      <c r="B15" s="79" t="s">
        <v>236</v>
      </c>
      <c r="C15" s="9">
        <v>212959</v>
      </c>
      <c r="D15" s="14" t="s">
        <v>3</v>
      </c>
      <c r="E15" s="1"/>
      <c r="F15" s="1"/>
    </row>
    <row r="16" spans="1:6" x14ac:dyDescent="0.25">
      <c r="A16" s="1"/>
      <c r="B16" s="79" t="s">
        <v>237</v>
      </c>
      <c r="C16" s="9">
        <v>7374126</v>
      </c>
      <c r="D16" s="14" t="s">
        <v>3</v>
      </c>
      <c r="E16" s="1"/>
      <c r="F16" s="1"/>
    </row>
    <row r="17" spans="1:6" x14ac:dyDescent="0.25">
      <c r="A17" s="1"/>
      <c r="B17" s="67" t="s">
        <v>182</v>
      </c>
      <c r="C17" s="12">
        <f>SUM(C10:C16)</f>
        <v>110712494</v>
      </c>
      <c r="D17" s="13" t="s">
        <v>3</v>
      </c>
      <c r="E17" s="1"/>
      <c r="F17" s="1"/>
    </row>
    <row r="18" spans="1:6" x14ac:dyDescent="0.25">
      <c r="A18" s="1"/>
      <c r="B18" s="67" t="s">
        <v>183</v>
      </c>
      <c r="C18" s="12">
        <f>C17*(1+'Fane 13. Nøgletal'!C15)^2</f>
        <v>118735536.15919586</v>
      </c>
      <c r="D18" s="13" t="s">
        <v>3</v>
      </c>
      <c r="E18" s="1"/>
      <c r="F18" s="1"/>
    </row>
    <row r="19" spans="1:6" x14ac:dyDescent="0.25">
      <c r="A19" s="1"/>
      <c r="B19" s="16"/>
      <c r="C19" s="15"/>
      <c r="D19" s="15"/>
      <c r="E19" s="1"/>
      <c r="F19" s="1"/>
    </row>
    <row r="20" spans="1:6" x14ac:dyDescent="0.25">
      <c r="A20" s="1"/>
      <c r="B20" s="16"/>
      <c r="C20" s="15"/>
      <c r="D20" s="15"/>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184</v>
      </c>
      <c r="C3" s="122"/>
      <c r="D3" s="122"/>
      <c r="E3" s="122"/>
      <c r="F3" s="122"/>
      <c r="G3" s="1"/>
    </row>
    <row r="4" spans="1:7" ht="15" customHeight="1" x14ac:dyDescent="0.25">
      <c r="A4" s="1"/>
      <c r="B4" s="122"/>
      <c r="C4" s="122"/>
      <c r="D4" s="122"/>
      <c r="E4" s="122"/>
      <c r="F4" s="122"/>
      <c r="G4" s="1"/>
    </row>
    <row r="5" spans="1:7" ht="15" customHeight="1" x14ac:dyDescent="0.25">
      <c r="A5" s="1"/>
      <c r="B5" s="74"/>
      <c r="C5" s="74"/>
      <c r="D5" s="74"/>
      <c r="E5" s="74"/>
      <c r="F5" s="74"/>
      <c r="G5" s="1"/>
    </row>
    <row r="6" spans="1:7" ht="15" customHeight="1" x14ac:dyDescent="0.25">
      <c r="A6" s="1"/>
      <c r="B6" s="74"/>
      <c r="C6" s="74"/>
      <c r="D6" s="74"/>
      <c r="E6" s="74"/>
      <c r="F6" s="74"/>
      <c r="G6" s="1"/>
    </row>
    <row r="7" spans="1:7" x14ac:dyDescent="0.25">
      <c r="A7" s="1"/>
      <c r="B7" s="1"/>
      <c r="C7" s="1"/>
      <c r="D7" s="1"/>
      <c r="E7" s="1"/>
      <c r="F7" s="1"/>
      <c r="G7" s="1"/>
    </row>
    <row r="8" spans="1:7" x14ac:dyDescent="0.25">
      <c r="A8" s="1"/>
      <c r="B8" s="119" t="s">
        <v>155</v>
      </c>
      <c r="C8" s="120"/>
      <c r="D8" s="120"/>
      <c r="E8" s="120"/>
      <c r="F8" s="121"/>
      <c r="G8" s="1"/>
    </row>
    <row r="9" spans="1:7" x14ac:dyDescent="0.25">
      <c r="A9" s="1"/>
      <c r="B9" s="126" t="s">
        <v>156</v>
      </c>
      <c r="C9" s="127"/>
      <c r="D9" s="128"/>
      <c r="E9" s="9">
        <v>7440101</v>
      </c>
      <c r="F9" s="14" t="s">
        <v>3</v>
      </c>
      <c r="G9" s="1"/>
    </row>
    <row r="10" spans="1:7" x14ac:dyDescent="0.25">
      <c r="A10" s="1"/>
      <c r="B10" s="141" t="s">
        <v>238</v>
      </c>
      <c r="C10" s="142"/>
      <c r="D10" s="143"/>
      <c r="E10" s="9">
        <v>7440101</v>
      </c>
      <c r="F10" s="54" t="s">
        <v>3</v>
      </c>
      <c r="G10" s="1"/>
    </row>
    <row r="11" spans="1:7" x14ac:dyDescent="0.25">
      <c r="A11" s="1"/>
      <c r="B11" s="126" t="s">
        <v>185</v>
      </c>
      <c r="C11" s="127"/>
      <c r="D11" s="128"/>
      <c r="E11" s="9">
        <v>-436139.3459045589</v>
      </c>
      <c r="F11" s="14" t="s">
        <v>3</v>
      </c>
      <c r="G11" s="1"/>
    </row>
    <row r="12" spans="1:7" x14ac:dyDescent="0.25">
      <c r="A12" s="1"/>
      <c r="B12" s="67"/>
      <c r="C12" s="68"/>
      <c r="D12" s="68"/>
      <c r="E12" s="68"/>
      <c r="F12" s="19"/>
      <c r="G12" s="1"/>
    </row>
    <row r="13" spans="1:7" ht="64.900000000000006" customHeight="1" x14ac:dyDescent="0.25">
      <c r="A13" s="1"/>
      <c r="B13" s="102" t="s">
        <v>253</v>
      </c>
      <c r="C13" s="103"/>
      <c r="D13" s="103"/>
      <c r="E13" s="103"/>
      <c r="F13" s="104"/>
      <c r="G13" s="1"/>
    </row>
    <row r="14" spans="1:7" ht="27" customHeight="1" x14ac:dyDescent="0.25">
      <c r="A14" s="1"/>
      <c r="B14" s="1"/>
      <c r="C14" s="1"/>
      <c r="D14" s="1"/>
      <c r="E14" s="1"/>
      <c r="F14" s="1"/>
      <c r="G14" s="1"/>
    </row>
    <row r="15" spans="1:7" ht="28.5" customHeight="1" x14ac:dyDescent="0.25">
      <c r="A15" s="1"/>
      <c r="B15" s="119" t="s">
        <v>157</v>
      </c>
      <c r="C15" s="120"/>
      <c r="D15" s="120"/>
      <c r="E15" s="120"/>
      <c r="F15" s="121"/>
      <c r="G15" s="1"/>
    </row>
    <row r="16" spans="1:7" x14ac:dyDescent="0.25">
      <c r="A16" s="1"/>
      <c r="B16" s="126" t="s">
        <v>239</v>
      </c>
      <c r="C16" s="127"/>
      <c r="D16" s="128"/>
      <c r="E16" s="9">
        <v>0</v>
      </c>
      <c r="F16" s="14" t="s">
        <v>3</v>
      </c>
      <c r="G16" s="1"/>
    </row>
    <row r="17" spans="1:7" x14ac:dyDescent="0.25">
      <c r="A17" s="1"/>
      <c r="B17" s="126" t="s">
        <v>240</v>
      </c>
      <c r="C17" s="127"/>
      <c r="D17" s="128"/>
      <c r="E17" s="9">
        <v>0</v>
      </c>
      <c r="F17" s="14" t="s">
        <v>3</v>
      </c>
      <c r="G17" s="1"/>
    </row>
    <row r="18" spans="1:7" x14ac:dyDescent="0.25">
      <c r="A18" s="1"/>
      <c r="B18" s="67"/>
      <c r="C18" s="68"/>
      <c r="D18" s="68"/>
      <c r="E18" s="68"/>
      <c r="F18" s="19"/>
      <c r="G18" s="1"/>
    </row>
    <row r="19" spans="1:7" ht="31.5" customHeight="1" x14ac:dyDescent="0.25">
      <c r="A19" s="1"/>
      <c r="B19" s="102" t="s">
        <v>158</v>
      </c>
      <c r="C19" s="103"/>
      <c r="D19" s="103"/>
      <c r="E19" s="103"/>
      <c r="F19" s="104"/>
      <c r="G19" s="1"/>
    </row>
    <row r="20" spans="1:7" ht="28.5" customHeight="1" x14ac:dyDescent="0.25">
      <c r="A20" s="1"/>
      <c r="B20" s="1"/>
      <c r="C20" s="1"/>
      <c r="D20" s="1"/>
      <c r="E20" s="1"/>
      <c r="F20" s="1"/>
      <c r="G20" s="1"/>
    </row>
    <row r="21" spans="1:7" ht="28.5" customHeight="1" x14ac:dyDescent="0.25">
      <c r="A21" s="1"/>
      <c r="B21" s="71" t="s">
        <v>186</v>
      </c>
      <c r="C21" s="72"/>
      <c r="D21" s="72"/>
      <c r="E21" s="72"/>
      <c r="F21" s="73"/>
      <c r="G21" s="1"/>
    </row>
    <row r="22" spans="1:7" x14ac:dyDescent="0.25">
      <c r="A22" s="1"/>
      <c r="B22" s="76" t="s">
        <v>241</v>
      </c>
      <c r="C22" s="77"/>
      <c r="D22" s="78"/>
      <c r="E22" s="9">
        <v>260487224.07345885</v>
      </c>
      <c r="F22" s="14" t="s">
        <v>3</v>
      </c>
      <c r="G22" s="1"/>
    </row>
    <row r="23" spans="1:7" x14ac:dyDescent="0.25">
      <c r="A23" s="1"/>
      <c r="B23" s="76" t="s">
        <v>187</v>
      </c>
      <c r="C23" s="77"/>
      <c r="D23" s="78"/>
      <c r="E23" s="9">
        <v>268812242</v>
      </c>
      <c r="F23" s="14" t="s">
        <v>3</v>
      </c>
      <c r="G23" s="1"/>
    </row>
    <row r="24" spans="1:7" x14ac:dyDescent="0.25">
      <c r="A24" s="1"/>
      <c r="B24" s="76" t="s">
        <v>31</v>
      </c>
      <c r="C24" s="77"/>
      <c r="D24" s="78"/>
      <c r="E24" s="9">
        <v>1818982</v>
      </c>
      <c r="F24" s="14" t="s">
        <v>3</v>
      </c>
      <c r="G24" s="1"/>
    </row>
    <row r="25" spans="1:7" x14ac:dyDescent="0.25">
      <c r="A25" s="1"/>
      <c r="B25" s="51" t="s">
        <v>255</v>
      </c>
      <c r="C25" s="52"/>
      <c r="D25" s="53"/>
      <c r="E25" s="57">
        <f>E22-(E23-E24)</f>
        <v>-6506035.9265411496</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19" t="s">
        <v>242</v>
      </c>
      <c r="C28" s="120"/>
      <c r="D28" s="120"/>
      <c r="E28" s="120"/>
      <c r="F28" s="121"/>
      <c r="G28" s="1"/>
    </row>
    <row r="29" spans="1:7" x14ac:dyDescent="0.25">
      <c r="A29" s="1"/>
      <c r="B29" s="144" t="s">
        <v>128</v>
      </c>
      <c r="C29" s="145"/>
      <c r="D29" s="146"/>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-6506035.9265411496</v>
      </c>
      <c r="F29" s="14" t="s">
        <v>3</v>
      </c>
      <c r="G29" s="1"/>
    </row>
    <row r="30" spans="1:7" x14ac:dyDescent="0.25">
      <c r="A30" s="1"/>
      <c r="B30" s="144" t="s">
        <v>93</v>
      </c>
      <c r="C30" s="145"/>
      <c r="D30" s="146"/>
      <c r="E30" s="9">
        <v>2</v>
      </c>
      <c r="F30" s="14" t="s">
        <v>18</v>
      </c>
      <c r="G30" s="1"/>
    </row>
    <row r="31" spans="1:7" x14ac:dyDescent="0.25">
      <c r="A31" s="1"/>
      <c r="B31" s="137" t="s">
        <v>127</v>
      </c>
      <c r="C31" s="137"/>
      <c r="D31" s="137"/>
      <c r="E31" s="10">
        <f>E29/E30</f>
        <v>-3253017.9632705748</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kIg18F/bgrOOthN/h0o0ukN8Ux9OAYCZ8frZznHiY1Eg/xpnuxbrCQNy0bscn4Cg0VEcac+V+to2bTKJ0d62CQ==" saltValue="U3hU9scf9zzsF58UncWEbA=="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9"/>
  <dimension ref="A1:I50"/>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0" t="s">
        <v>226</v>
      </c>
      <c r="C3" s="100"/>
      <c r="D3" s="100"/>
      <c r="E3" s="100"/>
      <c r="F3" s="100"/>
      <c r="G3" s="100"/>
      <c r="H3" s="100"/>
      <c r="I3" s="1"/>
    </row>
    <row r="4" spans="1:9" ht="15" customHeight="1" x14ac:dyDescent="0.25">
      <c r="A4" s="1"/>
      <c r="B4" s="100"/>
      <c r="C4" s="100"/>
      <c r="D4" s="100"/>
      <c r="E4" s="100"/>
      <c r="F4" s="100"/>
      <c r="G4" s="100"/>
      <c r="H4" s="10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9" t="s">
        <v>227</v>
      </c>
      <c r="C8" s="120"/>
      <c r="D8" s="120"/>
      <c r="E8" s="120"/>
      <c r="F8" s="120"/>
      <c r="G8" s="120"/>
      <c r="H8" s="121"/>
      <c r="I8" s="1"/>
    </row>
    <row r="9" spans="1:9" ht="15" customHeight="1" x14ac:dyDescent="0.25">
      <c r="A9" s="1"/>
      <c r="B9" s="111" t="s">
        <v>228</v>
      </c>
      <c r="C9" s="112"/>
      <c r="D9" s="112"/>
      <c r="E9" s="112"/>
      <c r="F9" s="112"/>
      <c r="G9" s="112"/>
      <c r="H9" s="113"/>
      <c r="I9" s="1"/>
    </row>
    <row r="10" spans="1:9" x14ac:dyDescent="0.25">
      <c r="A10" s="1"/>
      <c r="B10" s="147" t="s">
        <v>245</v>
      </c>
      <c r="C10" s="148"/>
      <c r="D10" s="148"/>
      <c r="E10" s="148"/>
      <c r="F10" s="149"/>
      <c r="G10" s="56">
        <v>0</v>
      </c>
      <c r="H10" s="9" t="s">
        <v>3</v>
      </c>
      <c r="I10" s="1"/>
    </row>
    <row r="11" spans="1:9" x14ac:dyDescent="0.25">
      <c r="A11" s="1"/>
      <c r="B11" s="147" t="s">
        <v>246</v>
      </c>
      <c r="C11" s="148"/>
      <c r="D11" s="148"/>
      <c r="E11" s="148"/>
      <c r="F11" s="149"/>
      <c r="G11" s="56">
        <v>0</v>
      </c>
      <c r="H11" s="9" t="s">
        <v>3</v>
      </c>
      <c r="I11" s="1"/>
    </row>
    <row r="12" spans="1:9" x14ac:dyDescent="0.25">
      <c r="A12" s="1"/>
      <c r="B12" s="147" t="s">
        <v>247</v>
      </c>
      <c r="C12" s="148"/>
      <c r="D12" s="148"/>
      <c r="E12" s="148"/>
      <c r="F12" s="149"/>
      <c r="G12" s="9">
        <v>0</v>
      </c>
      <c r="H12" s="9" t="s">
        <v>3</v>
      </c>
      <c r="I12" s="1"/>
    </row>
    <row r="13" spans="1:9" x14ac:dyDescent="0.25">
      <c r="A13" s="1"/>
      <c r="B13" s="147" t="s">
        <v>248</v>
      </c>
      <c r="C13" s="148"/>
      <c r="D13" s="148"/>
      <c r="E13" s="148"/>
      <c r="F13" s="149"/>
      <c r="G13" s="9">
        <v>0</v>
      </c>
      <c r="H13" s="9" t="s">
        <v>3</v>
      </c>
      <c r="I13" s="1"/>
    </row>
    <row r="14" spans="1:9" x14ac:dyDescent="0.25">
      <c r="A14" s="1"/>
      <c r="B14" s="147" t="s">
        <v>249</v>
      </c>
      <c r="C14" s="148"/>
      <c r="D14" s="148"/>
      <c r="E14" s="148"/>
      <c r="F14" s="149"/>
      <c r="G14" s="9">
        <v>0</v>
      </c>
      <c r="H14" s="9" t="s">
        <v>3</v>
      </c>
      <c r="I14" s="1"/>
    </row>
    <row r="15" spans="1:9" x14ac:dyDescent="0.25">
      <c r="A15" s="1"/>
      <c r="B15" s="147" t="s">
        <v>250</v>
      </c>
      <c r="C15" s="148"/>
      <c r="D15" s="148"/>
      <c r="E15" s="148"/>
      <c r="F15" s="149"/>
      <c r="G15" s="9">
        <v>0</v>
      </c>
      <c r="H15" s="9" t="s">
        <v>3</v>
      </c>
      <c r="I15" s="1"/>
    </row>
    <row r="16" spans="1:9" x14ac:dyDescent="0.25">
      <c r="A16" s="1"/>
      <c r="B16" s="147" t="s">
        <v>251</v>
      </c>
      <c r="C16" s="148"/>
      <c r="D16" s="148"/>
      <c r="E16" s="148"/>
      <c r="F16" s="149"/>
      <c r="G16" s="9">
        <v>0</v>
      </c>
      <c r="H16" s="9" t="s">
        <v>3</v>
      </c>
      <c r="I16" s="1"/>
    </row>
    <row r="17" spans="1:9" x14ac:dyDescent="0.25">
      <c r="A17" s="1"/>
      <c r="B17" s="147" t="s">
        <v>252</v>
      </c>
      <c r="C17" s="148"/>
      <c r="D17" s="148"/>
      <c r="E17" s="148"/>
      <c r="F17" s="149"/>
      <c r="G17" s="9">
        <v>0</v>
      </c>
      <c r="H17" s="9" t="s">
        <v>3</v>
      </c>
      <c r="I17" s="1"/>
    </row>
    <row r="18" spans="1:9" x14ac:dyDescent="0.25">
      <c r="A18" s="1"/>
      <c r="B18" s="119" t="s">
        <v>229</v>
      </c>
      <c r="C18" s="120"/>
      <c r="D18" s="120"/>
      <c r="E18" s="120"/>
      <c r="F18" s="12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ztJZCdiUIADLiElHDg49rc84rGe6jIreJHx7nevqBftUvsN0mzqUciXzZrrIwt7vPTOiv98Lvy4dBH0kjY5T/Q==" saltValue="HFvPxko2ViU0bpaIhLh93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8"/>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0" t="s">
        <v>220</v>
      </c>
      <c r="C3" s="100"/>
      <c r="D3" s="100"/>
      <c r="E3" s="100"/>
      <c r="F3" s="100"/>
      <c r="G3" s="100"/>
      <c r="H3" s="100"/>
      <c r="I3" s="100"/>
      <c r="J3" s="100"/>
      <c r="K3" s="100"/>
      <c r="L3" s="1"/>
    </row>
    <row r="4" spans="1:12" ht="15" customHeight="1" x14ac:dyDescent="0.25">
      <c r="A4" s="1"/>
      <c r="B4" s="100"/>
      <c r="C4" s="100"/>
      <c r="D4" s="100"/>
      <c r="E4" s="100"/>
      <c r="F4" s="100"/>
      <c r="G4" s="100"/>
      <c r="H4" s="100"/>
      <c r="I4" s="100"/>
      <c r="J4" s="100"/>
      <c r="K4" s="10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9" t="s">
        <v>192</v>
      </c>
      <c r="C8" s="120"/>
      <c r="D8" s="120"/>
      <c r="E8" s="120"/>
      <c r="F8" s="120"/>
      <c r="G8" s="120"/>
      <c r="H8" s="120"/>
      <c r="I8" s="120"/>
      <c r="J8" s="120"/>
      <c r="K8" s="121"/>
      <c r="L8" s="1"/>
    </row>
    <row r="9" spans="1:12" ht="39.75" customHeight="1" x14ac:dyDescent="0.25">
      <c r="A9" s="1"/>
      <c r="B9" s="18" t="s">
        <v>0</v>
      </c>
      <c r="C9" s="18" t="s">
        <v>1</v>
      </c>
      <c r="D9" s="150" t="s">
        <v>213</v>
      </c>
      <c r="E9" s="151"/>
      <c r="F9" s="150" t="s">
        <v>2</v>
      </c>
      <c r="G9" s="151"/>
      <c r="H9" s="150" t="s">
        <v>214</v>
      </c>
      <c r="I9" s="151"/>
      <c r="J9" s="150" t="s">
        <v>28</v>
      </c>
      <c r="K9" s="151"/>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67" t="s">
        <v>193</v>
      </c>
      <c r="C11" s="68"/>
      <c r="D11" s="19"/>
      <c r="E11" s="7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221</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70"/>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257</v>
      </c>
      <c r="C11" s="21">
        <v>0</v>
      </c>
      <c r="D11" s="14" t="s">
        <v>3</v>
      </c>
      <c r="E11" s="9">
        <v>19233</v>
      </c>
      <c r="F11" s="14" t="s">
        <v>3</v>
      </c>
      <c r="G11" s="1"/>
    </row>
    <row r="12" spans="1:7" x14ac:dyDescent="0.25">
      <c r="A12" s="1"/>
      <c r="B12" s="26" t="s">
        <v>258</v>
      </c>
      <c r="C12" s="21">
        <v>2230177</v>
      </c>
      <c r="D12" s="14" t="s">
        <v>3</v>
      </c>
      <c r="E12" s="9">
        <v>3570643</v>
      </c>
      <c r="F12" s="14" t="s">
        <v>3</v>
      </c>
      <c r="G12" s="1"/>
    </row>
    <row r="13" spans="1:7" x14ac:dyDescent="0.25">
      <c r="A13" s="1"/>
      <c r="B13" s="26" t="s">
        <v>254</v>
      </c>
      <c r="C13" s="21">
        <v>40707</v>
      </c>
      <c r="D13" s="14" t="s">
        <v>3</v>
      </c>
      <c r="E13" s="9">
        <v>0</v>
      </c>
      <c r="F13" s="14" t="s">
        <v>3</v>
      </c>
      <c r="G13" s="1"/>
    </row>
    <row r="14" spans="1:7" x14ac:dyDescent="0.25">
      <c r="A14" s="1"/>
      <c r="B14" s="26" t="s">
        <v>256</v>
      </c>
      <c r="C14" s="21">
        <v>805622</v>
      </c>
      <c r="D14" s="14" t="s">
        <v>3</v>
      </c>
      <c r="E14" s="9">
        <v>0</v>
      </c>
      <c r="F14" s="14" t="s">
        <v>3</v>
      </c>
      <c r="G14" s="1"/>
    </row>
    <row r="15" spans="1:7" x14ac:dyDescent="0.25">
      <c r="A15" s="1"/>
      <c r="B15" s="67" t="s">
        <v>148</v>
      </c>
      <c r="C15" s="12">
        <f>SUM(C10:C14)</f>
        <v>3076506</v>
      </c>
      <c r="D15" s="13" t="s">
        <v>3</v>
      </c>
      <c r="E15" s="12">
        <f>SUM(E10:E14)</f>
        <v>3589876</v>
      </c>
      <c r="F15" s="13" t="s">
        <v>3</v>
      </c>
      <c r="G15" s="1"/>
    </row>
    <row r="16" spans="1:7" x14ac:dyDescent="0.25">
      <c r="A16" s="1"/>
      <c r="B16" s="67" t="s">
        <v>188</v>
      </c>
      <c r="C16" s="12">
        <f>C15*(1+'Fane 13. Nøgletal'!C15)</f>
        <v>3186029.6136000003</v>
      </c>
      <c r="D16" s="13" t="s">
        <v>3</v>
      </c>
      <c r="E16" s="12">
        <f>E15*(1+'Fane 13. Nøgletal'!C15)</f>
        <v>3717675.5856000003</v>
      </c>
      <c r="F16" s="13" t="s">
        <v>3</v>
      </c>
      <c r="G16" s="1"/>
    </row>
    <row r="17" spans="1:7" x14ac:dyDescent="0.25">
      <c r="A17" s="1"/>
      <c r="B17" s="1"/>
      <c r="C17" s="1" t="s">
        <v>210</v>
      </c>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MuYgTBfHmWjm8xQpcwefGOrf6TOEdbhIpJIwVnxs9wXHgYcH+diqbl0nxAajzkqS0Vq1xcpxM8pfYMDXyITK3A==" saltValue="YyG5LazOGUR+Mcj/xTK9V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222</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9" t="s">
        <v>88</v>
      </c>
      <c r="C9" s="120"/>
      <c r="D9" s="120"/>
      <c r="E9" s="120"/>
      <c r="F9" s="121"/>
      <c r="G9" s="1"/>
    </row>
    <row r="10" spans="1:7" ht="26.25" x14ac:dyDescent="0.25">
      <c r="A10" s="1"/>
      <c r="B10" s="65" t="s">
        <v>15</v>
      </c>
      <c r="C10" s="65" t="s">
        <v>10</v>
      </c>
      <c r="D10" s="66"/>
      <c r="E10" s="65" t="s">
        <v>29</v>
      </c>
      <c r="F10" s="70"/>
      <c r="G10" s="1"/>
    </row>
    <row r="11" spans="1:7" x14ac:dyDescent="0.25">
      <c r="A11" s="1"/>
      <c r="B11" s="22" t="s">
        <v>254</v>
      </c>
      <c r="C11" s="21">
        <v>1221211</v>
      </c>
      <c r="D11" s="14" t="s">
        <v>3</v>
      </c>
      <c r="E11" s="9">
        <v>0</v>
      </c>
      <c r="F11" s="14" t="s">
        <v>3</v>
      </c>
      <c r="G11" s="1"/>
    </row>
    <row r="12" spans="1:7" x14ac:dyDescent="0.25">
      <c r="A12" s="1"/>
      <c r="B12" s="67" t="s">
        <v>195</v>
      </c>
      <c r="C12" s="12">
        <f>SUM(C11:C11)</f>
        <v>1221211</v>
      </c>
      <c r="D12" s="13" t="s">
        <v>3</v>
      </c>
      <c r="E12" s="12">
        <f>SUM(E11:E11)</f>
        <v>0</v>
      </c>
      <c r="F12" s="13" t="s">
        <v>3</v>
      </c>
      <c r="G12" s="1"/>
    </row>
    <row r="13" spans="1:7" x14ac:dyDescent="0.25">
      <c r="A13" s="1"/>
      <c r="B13" s="67" t="s">
        <v>119</v>
      </c>
      <c r="C13" s="12">
        <f>C12*(1+'Fane 13. Nøgletal'!$C$15)^2</f>
        <v>1309708.93717296</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2WBfpFvynT91glqmL5z7yHXTOuwfz1t+YM+8WYBpPV6VABtB7LcRFxZU6HT/kRS43C5TqPnJqDAMVCZSWpKkw==" saltValue="rObi85X1pDSmuXSr//CrU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8"/>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223</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9" t="s">
        <v>112</v>
      </c>
      <c r="C8" s="120"/>
      <c r="D8" s="120"/>
      <c r="E8" s="120"/>
      <c r="F8" s="121"/>
      <c r="G8" s="1"/>
    </row>
    <row r="9" spans="1:7" ht="15" customHeight="1" x14ac:dyDescent="0.25">
      <c r="A9" s="1"/>
      <c r="B9" s="69" t="s">
        <v>113</v>
      </c>
      <c r="C9" s="111" t="s">
        <v>10</v>
      </c>
      <c r="D9" s="113"/>
      <c r="E9" s="111" t="s">
        <v>29</v>
      </c>
      <c r="F9" s="113"/>
      <c r="G9" s="1"/>
    </row>
    <row r="10" spans="1:7" x14ac:dyDescent="0.25">
      <c r="A10" s="1"/>
      <c r="B10" s="22" t="s">
        <v>243</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224</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9" t="s">
        <v>85</v>
      </c>
      <c r="C10" s="120"/>
      <c r="D10" s="120"/>
      <c r="E10" s="120"/>
      <c r="F10" s="121"/>
      <c r="G10" s="1"/>
    </row>
    <row r="11" spans="1:7" ht="26.25" customHeight="1" x14ac:dyDescent="0.25">
      <c r="A11" s="1"/>
      <c r="B11" s="69" t="s">
        <v>16</v>
      </c>
      <c r="C11" s="69" t="s">
        <v>10</v>
      </c>
      <c r="D11" s="70"/>
      <c r="E11" s="111" t="s">
        <v>29</v>
      </c>
      <c r="F11" s="113"/>
      <c r="G11" s="1"/>
    </row>
    <row r="12" spans="1:7" x14ac:dyDescent="0.25">
      <c r="A12" s="1"/>
      <c r="B12" s="22" t="s">
        <v>244</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CwpszrvwQSpmEFfmYq/9VW6W3tlDIGAvKPUUYNRO+wg4SA9mL7pXL1qCi94Q+XTXuN/xXUuUoUWHw0gLjo5/g==" saltValue="2KnId7CmWdw2wyvY7v+ZkA==" spinCount="100000" sheet="1" objects="1" scenarios="1"/>
  <mergeCells count="3">
    <mergeCell ref="B3:F4"/>
    <mergeCell ref="B10:F10"/>
    <mergeCell ref="E11:F1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49"/>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22" t="s">
        <v>225</v>
      </c>
      <c r="C3" s="122"/>
      <c r="D3" s="1"/>
    </row>
    <row r="4" spans="1:4" ht="25.5" customHeight="1" x14ac:dyDescent="0.25">
      <c r="A4" s="1"/>
      <c r="B4" s="122"/>
      <c r="C4" s="122"/>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7"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19"/>
      <c r="C16" s="121"/>
      <c r="D16" s="1"/>
    </row>
    <row r="17" spans="1:4" x14ac:dyDescent="0.25">
      <c r="A17" s="1"/>
      <c r="B17" s="1"/>
      <c r="C17" s="44"/>
      <c r="D17" s="1"/>
    </row>
    <row r="18" spans="1:4" x14ac:dyDescent="0.25">
      <c r="A18" s="1"/>
      <c r="B18" s="1"/>
      <c r="C18" s="44"/>
      <c r="D18" s="1"/>
    </row>
    <row r="19" spans="1:4" x14ac:dyDescent="0.25">
      <c r="A19" s="1"/>
      <c r="B19" s="67"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67"/>
      <c r="C27" s="45"/>
      <c r="D27" s="1"/>
    </row>
    <row r="28" spans="1:4" x14ac:dyDescent="0.25">
      <c r="A28" s="1"/>
      <c r="B28" s="1"/>
      <c r="C28" s="44"/>
      <c r="D28" s="1"/>
    </row>
    <row r="29" spans="1:4" x14ac:dyDescent="0.25">
      <c r="A29" s="1"/>
      <c r="B29" s="1"/>
      <c r="C29" s="44"/>
      <c r="D29" s="1"/>
    </row>
    <row r="30" spans="1:4" x14ac:dyDescent="0.25">
      <c r="A30" s="1"/>
      <c r="B30" s="67" t="s">
        <v>90</v>
      </c>
      <c r="C30" s="45"/>
      <c r="D30" s="1"/>
    </row>
    <row r="31" spans="1:4" x14ac:dyDescent="0.25">
      <c r="A31" s="1"/>
      <c r="B31" s="79" t="s">
        <v>107</v>
      </c>
      <c r="C31" s="46">
        <v>0.02</v>
      </c>
      <c r="D31" s="1"/>
    </row>
    <row r="32" spans="1:4" x14ac:dyDescent="0.25">
      <c r="A32" s="1"/>
      <c r="B32" s="67"/>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election activeCell="C16" sqref="C16"/>
    </sheetView>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165</v>
      </c>
      <c r="C3" s="100"/>
      <c r="D3" s="100"/>
      <c r="E3" s="1"/>
    </row>
    <row r="4" spans="1:5" ht="15" customHeight="1"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75" t="s">
        <v>116</v>
      </c>
      <c r="C8" s="7">
        <f>'Fane 3. Omkostninger i ØR2022'!E20</f>
        <v>157151974.39372048</v>
      </c>
      <c r="D8" s="8" t="s">
        <v>3</v>
      </c>
      <c r="E8" s="1"/>
    </row>
    <row r="9" spans="1:5" ht="17.25" customHeight="1" x14ac:dyDescent="0.25">
      <c r="A9" s="1"/>
      <c r="B9" s="23" t="s">
        <v>35</v>
      </c>
      <c r="C9" s="7">
        <f>'Fane 10.1. Varige tillæg'!C16</f>
        <v>3186029.6136000003</v>
      </c>
      <c r="D9" s="8" t="s">
        <v>3</v>
      </c>
      <c r="E9" s="1"/>
    </row>
    <row r="10" spans="1:5" ht="17.25" customHeight="1" x14ac:dyDescent="0.25">
      <c r="A10" s="1"/>
      <c r="B10" s="23" t="s">
        <v>36</v>
      </c>
      <c r="C10" s="9">
        <f>'Fane 10.1. Varige tillæg'!E16</f>
        <v>3717675.5856000003</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5840382.1935079684</v>
      </c>
      <c r="D15" s="8" t="s">
        <v>3</v>
      </c>
      <c r="E15" s="1"/>
    </row>
    <row r="16" spans="1:5" ht="17.25" customHeight="1" x14ac:dyDescent="0.25">
      <c r="A16" s="1"/>
      <c r="B16" s="23" t="s">
        <v>9</v>
      </c>
      <c r="C16" s="9">
        <f>-SUM(C8,C9:C15)*'Fane 5. Individuelt eff. krav'!G9</f>
        <v>-3397921.2357285684</v>
      </c>
      <c r="D16" s="8" t="s">
        <v>3</v>
      </c>
      <c r="E16" s="1"/>
    </row>
    <row r="17" spans="1:5" ht="17.25" customHeight="1" x14ac:dyDescent="0.25">
      <c r="A17" s="1"/>
      <c r="B17" s="23" t="s">
        <v>23</v>
      </c>
      <c r="C17" s="9">
        <f>-'Fane 4.1. Gen. krav - drift'!G43</f>
        <v>-1937454.0897620423</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164560686.46093783</v>
      </c>
      <c r="D19" s="11" t="s">
        <v>3</v>
      </c>
      <c r="E19" s="1"/>
    </row>
    <row r="20" spans="1:5" ht="15" customHeight="1" x14ac:dyDescent="0.25">
      <c r="A20" s="1"/>
      <c r="B20" s="67" t="s">
        <v>11</v>
      </c>
      <c r="C20" s="68"/>
      <c r="D20" s="19"/>
      <c r="E20" s="1"/>
    </row>
    <row r="21" spans="1:5" ht="15" customHeight="1" x14ac:dyDescent="0.25">
      <c r="A21" s="1"/>
      <c r="B21" s="69" t="s">
        <v>11</v>
      </c>
      <c r="C21" s="10">
        <f>'Fane 6. Ikke-påvirkelige omk.'!C18</f>
        <v>118735536.15919586</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1309708.93717296</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-52388.357486918401</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1257320.5796860417</v>
      </c>
      <c r="D27" s="11" t="s">
        <v>3</v>
      </c>
      <c r="E27" s="1"/>
    </row>
    <row r="28" spans="1:5" ht="15" customHeight="1" x14ac:dyDescent="0.25">
      <c r="A28" s="1"/>
      <c r="B28" s="25" t="s">
        <v>128</v>
      </c>
      <c r="C28" s="68"/>
      <c r="D28" s="19"/>
      <c r="E28" s="1"/>
    </row>
    <row r="29" spans="1:5" x14ac:dyDescent="0.25">
      <c r="A29" s="1"/>
      <c r="B29" s="80" t="s">
        <v>129</v>
      </c>
      <c r="C29" s="10">
        <f>'Fane 7. Kontrol af ØR2021'!E31</f>
        <v>-3253017.9632705748</v>
      </c>
      <c r="D29" s="11" t="s">
        <v>3</v>
      </c>
      <c r="E29" s="1"/>
    </row>
    <row r="30" spans="1:5" x14ac:dyDescent="0.25">
      <c r="A30" s="1"/>
      <c r="B30" s="25" t="s">
        <v>153</v>
      </c>
      <c r="C30" s="68"/>
      <c r="D30" s="19"/>
      <c r="E30" s="1"/>
    </row>
    <row r="31" spans="1:5" x14ac:dyDescent="0.25">
      <c r="A31" s="1"/>
      <c r="B31" s="80" t="s">
        <v>154</v>
      </c>
      <c r="C31" s="10">
        <f>'Fane 8. Skattesagen'!G12</f>
        <v>0</v>
      </c>
      <c r="D31" s="11" t="s">
        <v>3</v>
      </c>
      <c r="E31" s="1"/>
    </row>
    <row r="32" spans="1:5" x14ac:dyDescent="0.25">
      <c r="A32" s="1"/>
      <c r="B32" s="67" t="s">
        <v>84</v>
      </c>
      <c r="C32" s="36">
        <f>SUM(C19,C21,C27,C29,C31)</f>
        <v>281300525.23654914</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Rqfdt5ox+Z2BeRfVyZXIoQPDWpwpMb2DFdKuntAyMFJBVv39RfUwakOkmoK3PgzuwhwgOmotfM9EoXvAQVgmrQ==" saltValue="2SsA3sIaWgpWyEk/gBKNm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tabSelected="1" view="pageLayout" zoomScaleNormal="100" workbookViewId="0">
      <selection activeCell="C11" sqref="C11"/>
    </sheetView>
  </sheetViews>
  <sheetFormatPr defaultColWidth="9" defaultRowHeight="15" x14ac:dyDescent="0.25"/>
  <cols>
    <col min="1" max="1" width="5" style="2" customWidth="1"/>
    <col min="2" max="2" width="62.28515625" style="2" customWidth="1"/>
    <col min="3" max="3" width="11"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166</v>
      </c>
      <c r="C3" s="100"/>
      <c r="D3" s="100"/>
      <c r="E3" s="1"/>
    </row>
    <row r="4" spans="1:5" ht="15" customHeight="1" x14ac:dyDescent="0.25">
      <c r="A4" s="1"/>
      <c r="B4" s="100"/>
      <c r="C4" s="100"/>
      <c r="D4" s="100"/>
      <c r="E4" s="1"/>
    </row>
    <row r="5" spans="1:5" x14ac:dyDescent="0.25">
      <c r="A5" s="1"/>
      <c r="B5" s="101"/>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117</v>
      </c>
      <c r="C8" s="7">
        <f>'Fane 2.1. Økonomisk ramme 2023'!C19</f>
        <v>164560686.46093783</v>
      </c>
      <c r="D8" s="8" t="s">
        <v>3</v>
      </c>
      <c r="E8" s="1"/>
    </row>
    <row r="9" spans="1:5" ht="15" customHeight="1" x14ac:dyDescent="0.25">
      <c r="A9" s="1"/>
      <c r="B9" s="64" t="s">
        <v>17</v>
      </c>
      <c r="C9" s="9">
        <f>SUM(C8:C8)*'Fane 13. Nøgletal'!C15</f>
        <v>5858360.4380093869</v>
      </c>
      <c r="D9" s="8" t="s">
        <v>3</v>
      </c>
      <c r="E9" s="1"/>
    </row>
    <row r="10" spans="1:5" ht="15" customHeight="1" x14ac:dyDescent="0.25">
      <c r="A10" s="1"/>
      <c r="B10" s="64" t="s">
        <v>9</v>
      </c>
      <c r="C10" s="9">
        <f>-SUM(C8:C9)*'Fane 5. Individuelt eff. krav'!G9</f>
        <v>-3408380.9379789443</v>
      </c>
      <c r="D10" s="8" t="s">
        <v>3</v>
      </c>
      <c r="E10" s="1"/>
    </row>
    <row r="11" spans="1:5" ht="15" customHeight="1" x14ac:dyDescent="0.25">
      <c r="A11" s="1"/>
      <c r="B11" s="64" t="s">
        <v>23</v>
      </c>
      <c r="C11" s="9">
        <f>-'Fane 4.1. Gen. krav - drift'!G48</f>
        <v>-1966298.9062504196</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165044367.05471784</v>
      </c>
      <c r="D13" s="11" t="s">
        <v>3</v>
      </c>
      <c r="E13" s="1"/>
    </row>
    <row r="14" spans="1:5" x14ac:dyDescent="0.25">
      <c r="A14" s="1"/>
      <c r="B14" s="67" t="s">
        <v>11</v>
      </c>
      <c r="C14" s="68"/>
      <c r="D14" s="19"/>
      <c r="E14" s="1"/>
    </row>
    <row r="15" spans="1:5" ht="15" customHeight="1" x14ac:dyDescent="0.25">
      <c r="A15" s="1"/>
      <c r="B15" s="69" t="s">
        <v>11</v>
      </c>
      <c r="C15" s="10">
        <f>'Fane 6. Ikke-påvirkelige omk.'!C18*(1+'Fane 13. Nøgletal'!C15)</f>
        <v>122962521.24646324</v>
      </c>
      <c r="D15" s="11" t="s">
        <v>3</v>
      </c>
      <c r="E15" s="1"/>
    </row>
    <row r="16" spans="1:5" x14ac:dyDescent="0.25">
      <c r="A16" s="1"/>
      <c r="B16" s="25" t="s">
        <v>128</v>
      </c>
      <c r="C16" s="68"/>
      <c r="D16" s="19"/>
      <c r="E16" s="1"/>
    </row>
    <row r="17" spans="1:5" ht="15" customHeight="1" x14ac:dyDescent="0.25">
      <c r="A17" s="1"/>
      <c r="B17" s="80" t="s">
        <v>129</v>
      </c>
      <c r="C17" s="10">
        <f>'Fane 7. Kontrol af ØR2021'!E31</f>
        <v>-3253017.9632705748</v>
      </c>
      <c r="D17" s="11" t="s">
        <v>3</v>
      </c>
      <c r="E17" s="1"/>
    </row>
    <row r="18" spans="1:5" x14ac:dyDescent="0.25">
      <c r="A18" s="1"/>
      <c r="B18" s="25" t="s">
        <v>153</v>
      </c>
      <c r="C18" s="68"/>
      <c r="D18" s="19"/>
      <c r="E18" s="1"/>
    </row>
    <row r="19" spans="1:5" x14ac:dyDescent="0.25">
      <c r="A19" s="1"/>
      <c r="B19" s="80" t="s">
        <v>154</v>
      </c>
      <c r="C19" s="10">
        <f>'Fane 8. Skattesagen'!G13</f>
        <v>0</v>
      </c>
      <c r="D19" s="11" t="s">
        <v>3</v>
      </c>
      <c r="E19" s="1"/>
    </row>
    <row r="20" spans="1:5" x14ac:dyDescent="0.25">
      <c r="A20" s="1"/>
      <c r="B20" s="67" t="s">
        <v>138</v>
      </c>
      <c r="C20" s="12">
        <f>SUM(C13,C15,C17,C19)</f>
        <v>284753870.33791053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DqKQv6wGqIdpz/0SEoPE0gqwO99fn4r9s3ddFHE81kmfm2fb/ASqNEl74t85krH+kmGaHW4oq2zyQhlaOiVA==" saltValue="SGck5TEAmVuWRAcxRRy0j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 defaultRowHeight="15" x14ac:dyDescent="0.25"/>
  <cols>
    <col min="1" max="1" width="5" style="2" customWidth="1"/>
    <col min="2" max="2" width="61.85546875" style="2" customWidth="1"/>
    <col min="3" max="3" width="10.710937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167</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139</v>
      </c>
      <c r="C8" s="7">
        <f>'Fane 2.2. Økonomisk ramme 2024'!C13</f>
        <v>165044367.05471784</v>
      </c>
      <c r="D8" s="8" t="s">
        <v>3</v>
      </c>
      <c r="E8" s="1"/>
    </row>
    <row r="9" spans="1:5" ht="15" customHeight="1" x14ac:dyDescent="0.25">
      <c r="A9" s="1"/>
      <c r="B9" s="64" t="s">
        <v>17</v>
      </c>
      <c r="C9" s="9">
        <f>SUM(C8:C8)*'Fane 13. Nøgletal'!C15</f>
        <v>5875579.4671479547</v>
      </c>
      <c r="D9" s="8" t="s">
        <v>3</v>
      </c>
      <c r="E9" s="1"/>
    </row>
    <row r="10" spans="1:5" ht="15" customHeight="1" x14ac:dyDescent="0.25">
      <c r="A10" s="1"/>
      <c r="B10" s="64" t="s">
        <v>9</v>
      </c>
      <c r="C10" s="9">
        <f>-SUM(C8:C9)*'Fane 5. Individuelt eff. krav'!G9</f>
        <v>-3418398.9304373157</v>
      </c>
      <c r="D10" s="8" t="s">
        <v>3</v>
      </c>
      <c r="E10" s="1"/>
    </row>
    <row r="11" spans="1:5" ht="15" customHeight="1" x14ac:dyDescent="0.25">
      <c r="A11" s="1"/>
      <c r="B11" s="64" t="s">
        <v>23</v>
      </c>
      <c r="C11" s="9">
        <f>-'Fane 4.1. Gen. krav - drift'!G53</f>
        <v>-1995573.164366676</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165505974.4270618</v>
      </c>
      <c r="D13" s="11" t="s">
        <v>3</v>
      </c>
      <c r="E13" s="1"/>
    </row>
    <row r="14" spans="1:5" x14ac:dyDescent="0.25">
      <c r="A14" s="1"/>
      <c r="B14" s="67" t="s">
        <v>11</v>
      </c>
      <c r="C14" s="68"/>
      <c r="D14" s="19"/>
      <c r="E14" s="1"/>
    </row>
    <row r="15" spans="1:5" ht="15" customHeight="1" x14ac:dyDescent="0.25">
      <c r="A15" s="1"/>
      <c r="B15" s="69" t="s">
        <v>11</v>
      </c>
      <c r="C15" s="10">
        <f>'Fane 6. Ikke-påvirkelige omk.'!C18*(1+'Fane 13. Nøgletal'!C15)^2</f>
        <v>127339987.00283733</v>
      </c>
      <c r="D15" s="11" t="s">
        <v>3</v>
      </c>
      <c r="E15" s="1"/>
    </row>
    <row r="16" spans="1:5" x14ac:dyDescent="0.25">
      <c r="A16" s="1"/>
      <c r="B16" s="67" t="s">
        <v>128</v>
      </c>
      <c r="C16" s="68"/>
      <c r="D16" s="19"/>
      <c r="E16" s="1"/>
    </row>
    <row r="17" spans="1:5" x14ac:dyDescent="0.25">
      <c r="A17" s="1"/>
      <c r="B17" s="69" t="s">
        <v>129</v>
      </c>
      <c r="C17" s="10">
        <v>0</v>
      </c>
      <c r="D17" s="11" t="s">
        <v>3</v>
      </c>
      <c r="E17" s="1"/>
    </row>
    <row r="18" spans="1:5" ht="15" customHeight="1" x14ac:dyDescent="0.25">
      <c r="A18" s="1"/>
      <c r="B18" s="25" t="s">
        <v>153</v>
      </c>
      <c r="C18" s="68"/>
      <c r="D18" s="19"/>
      <c r="E18" s="1"/>
    </row>
    <row r="19" spans="1:5" ht="15" customHeight="1" x14ac:dyDescent="0.25">
      <c r="A19" s="1"/>
      <c r="B19" s="80" t="s">
        <v>154</v>
      </c>
      <c r="C19" s="10">
        <f>'Fane 8. Skattesagen'!G14</f>
        <v>0</v>
      </c>
      <c r="D19" s="11" t="s">
        <v>3</v>
      </c>
      <c r="E19" s="1"/>
    </row>
    <row r="20" spans="1:5" x14ac:dyDescent="0.25">
      <c r="A20" s="1"/>
      <c r="B20" s="67" t="s">
        <v>140</v>
      </c>
      <c r="C20" s="12">
        <f>SUM(C13,C15,C17,C19)</f>
        <v>292845961.4298991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m4DJhTvUkcbQT+u/SOlQl+k04JT+pOmfdfAW8p3m3Lhoi5C/sgVC+bo/foV7MLMu2SkaPcqKUEURsZPVMVL9g==" saltValue="AZUEXigvq9Yd07Z+210jW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 defaultRowHeight="15" x14ac:dyDescent="0.25"/>
  <cols>
    <col min="1" max="1" width="5" style="2" customWidth="1"/>
    <col min="2" max="2" width="63" style="2" customWidth="1"/>
    <col min="3" max="3" width="10.710937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168</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169</v>
      </c>
      <c r="C8" s="7">
        <f>'Fane 2.3. Økonomisk ramme 2025'!C13</f>
        <v>165505974.4270618</v>
      </c>
      <c r="D8" s="8" t="s">
        <v>3</v>
      </c>
      <c r="E8" s="1"/>
    </row>
    <row r="9" spans="1:5" ht="15" customHeight="1" x14ac:dyDescent="0.25">
      <c r="A9" s="1"/>
      <c r="B9" s="64" t="s">
        <v>17</v>
      </c>
      <c r="C9" s="9">
        <f>SUM(C8:C8)*'Fane 13. Nøgletal'!C15</f>
        <v>5892012.6896033995</v>
      </c>
      <c r="D9" s="8" t="s">
        <v>3</v>
      </c>
      <c r="E9" s="1"/>
    </row>
    <row r="10" spans="1:5" ht="15" customHeight="1" x14ac:dyDescent="0.25">
      <c r="A10" s="1"/>
      <c r="B10" s="64" t="s">
        <v>9</v>
      </c>
      <c r="C10" s="9">
        <f>-SUM(C8:C9)*'Fane 5. Individuelt eff. krav'!G9</f>
        <v>-3427959.7423333037</v>
      </c>
      <c r="D10" s="8" t="s">
        <v>3</v>
      </c>
      <c r="E10" s="1"/>
    </row>
    <row r="11" spans="1:5" ht="15" customHeight="1" x14ac:dyDescent="0.25">
      <c r="A11" s="1"/>
      <c r="B11" s="64" t="s">
        <v>23</v>
      </c>
      <c r="C11" s="9">
        <f>-'Fane 4.1. Gen. krav - drift'!G58</f>
        <v>-2025283.2576377674</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165944744.11669412</v>
      </c>
      <c r="D13" s="11" t="s">
        <v>3</v>
      </c>
      <c r="E13" s="1"/>
    </row>
    <row r="14" spans="1:5" x14ac:dyDescent="0.25">
      <c r="A14" s="1"/>
      <c r="B14" s="67" t="s">
        <v>11</v>
      </c>
      <c r="C14" s="68"/>
      <c r="D14" s="19"/>
      <c r="E14" s="1"/>
    </row>
    <row r="15" spans="1:5" ht="15" customHeight="1" x14ac:dyDescent="0.25">
      <c r="A15" s="1"/>
      <c r="B15" s="69" t="s">
        <v>11</v>
      </c>
      <c r="C15" s="10">
        <f>'Fane 6. Ikke-påvirkelige omk.'!C18*(1+'Fane 13. Nøgletal'!C15)^3</f>
        <v>131873290.54013835</v>
      </c>
      <c r="D15" s="11" t="s">
        <v>3</v>
      </c>
      <c r="E15" s="1"/>
    </row>
    <row r="16" spans="1:5" x14ac:dyDescent="0.25">
      <c r="A16" s="1"/>
      <c r="B16" s="67" t="s">
        <v>128</v>
      </c>
      <c r="C16" s="68"/>
      <c r="D16" s="19"/>
      <c r="E16" s="1"/>
    </row>
    <row r="17" spans="1:5" x14ac:dyDescent="0.25">
      <c r="A17" s="1"/>
      <c r="B17" s="69" t="s">
        <v>129</v>
      </c>
      <c r="C17" s="10">
        <v>0</v>
      </c>
      <c r="D17" s="11" t="s">
        <v>3</v>
      </c>
      <c r="E17" s="1"/>
    </row>
    <row r="18" spans="1:5" x14ac:dyDescent="0.25">
      <c r="A18" s="1"/>
      <c r="B18" s="25" t="s">
        <v>153</v>
      </c>
      <c r="C18" s="68"/>
      <c r="D18" s="19"/>
      <c r="E18" s="1"/>
    </row>
    <row r="19" spans="1:5" x14ac:dyDescent="0.25">
      <c r="A19" s="1"/>
      <c r="B19" s="80" t="s">
        <v>154</v>
      </c>
      <c r="C19" s="10">
        <f>'Fane 8. Skattesagen'!G15</f>
        <v>0</v>
      </c>
      <c r="D19" s="11" t="s">
        <v>3</v>
      </c>
      <c r="E19" s="1"/>
    </row>
    <row r="20" spans="1:5" x14ac:dyDescent="0.25">
      <c r="A20" s="1"/>
      <c r="B20" s="67" t="s">
        <v>170</v>
      </c>
      <c r="C20" s="12">
        <f>SUM(C13,C15,C17,C19)</f>
        <v>297818034.65683246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67gJLxWLcVlEoslEiOfgMOffr7BD8iVxq1kTkSbCSR4mMd9MAhgdHQkrdnAjJOGE2tNmA4RENm2Wm+0+panAg==" saltValue="uguL0uf1rCCFySj7HBqqK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171</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23" t="s">
        <v>22</v>
      </c>
      <c r="C9" s="124"/>
      <c r="D9" s="125"/>
      <c r="E9" s="7">
        <v>158197275.37605298</v>
      </c>
      <c r="F9" s="8" t="s">
        <v>3</v>
      </c>
      <c r="G9" s="1"/>
    </row>
    <row r="10" spans="1:7" ht="15" customHeight="1" x14ac:dyDescent="0.25">
      <c r="A10" s="1"/>
      <c r="B10" s="105" t="s">
        <v>35</v>
      </c>
      <c r="C10" s="106"/>
      <c r="D10" s="107"/>
      <c r="E10" s="9">
        <v>2025159.0434000001</v>
      </c>
      <c r="F10" s="8" t="s">
        <v>3</v>
      </c>
      <c r="G10" s="1"/>
    </row>
    <row r="11" spans="1:7" ht="15" customHeight="1" x14ac:dyDescent="0.25">
      <c r="A11" s="1"/>
      <c r="B11" s="105" t="s">
        <v>36</v>
      </c>
      <c r="C11" s="106"/>
      <c r="D11" s="107"/>
      <c r="E11" s="9">
        <v>1108032.4804</v>
      </c>
      <c r="F11" s="8" t="s">
        <v>3</v>
      </c>
      <c r="G11" s="1"/>
    </row>
    <row r="12" spans="1:7" x14ac:dyDescent="0.25">
      <c r="A12" s="1"/>
      <c r="B12" s="105" t="s">
        <v>26</v>
      </c>
      <c r="C12" s="106"/>
      <c r="D12" s="107"/>
      <c r="E12" s="9">
        <v>0</v>
      </c>
      <c r="F12" s="8" t="s">
        <v>3</v>
      </c>
      <c r="G12" s="1"/>
    </row>
    <row r="13" spans="1:7" x14ac:dyDescent="0.25">
      <c r="A13" s="1"/>
      <c r="B13" s="105" t="s">
        <v>25</v>
      </c>
      <c r="C13" s="106"/>
      <c r="D13" s="107"/>
      <c r="E13" s="9">
        <v>0</v>
      </c>
      <c r="F13" s="8" t="s">
        <v>3</v>
      </c>
      <c r="G13" s="1"/>
    </row>
    <row r="14" spans="1:7" x14ac:dyDescent="0.25">
      <c r="A14" s="1"/>
      <c r="B14" s="105" t="s">
        <v>114</v>
      </c>
      <c r="C14" s="106"/>
      <c r="D14" s="107"/>
      <c r="E14" s="9">
        <v>0</v>
      </c>
      <c r="F14" s="8" t="s">
        <v>3</v>
      </c>
      <c r="G14" s="1"/>
    </row>
    <row r="15" spans="1:7" x14ac:dyDescent="0.25">
      <c r="A15" s="1"/>
      <c r="B15" s="105" t="s">
        <v>115</v>
      </c>
      <c r="C15" s="106"/>
      <c r="D15" s="107"/>
      <c r="E15" s="9">
        <v>0</v>
      </c>
      <c r="F15" s="8" t="s">
        <v>3</v>
      </c>
      <c r="G15" s="1"/>
    </row>
    <row r="16" spans="1:7" x14ac:dyDescent="0.25">
      <c r="A16" s="1"/>
      <c r="B16" s="105" t="s">
        <v>17</v>
      </c>
      <c r="C16" s="106"/>
      <c r="D16" s="107"/>
      <c r="E16" s="9">
        <v>1940346.2916163865</v>
      </c>
      <c r="F16" s="8" t="s">
        <v>3</v>
      </c>
      <c r="G16" s="30"/>
    </row>
    <row r="17" spans="1:7" x14ac:dyDescent="0.25">
      <c r="A17" s="1"/>
      <c r="B17" s="105" t="s">
        <v>9</v>
      </c>
      <c r="C17" s="106"/>
      <c r="D17" s="107"/>
      <c r="E17" s="9">
        <v>-2147005.9538265392</v>
      </c>
      <c r="F17" s="8" t="s">
        <v>3</v>
      </c>
      <c r="G17" s="1"/>
    </row>
    <row r="18" spans="1:7" x14ac:dyDescent="0.25">
      <c r="A18" s="1"/>
      <c r="B18" s="105" t="s">
        <v>23</v>
      </c>
      <c r="C18" s="106"/>
      <c r="D18" s="107"/>
      <c r="E18" s="9">
        <v>-1844011.4026426163</v>
      </c>
      <c r="F18" s="8" t="s">
        <v>3</v>
      </c>
      <c r="G18" s="1"/>
    </row>
    <row r="19" spans="1:7" x14ac:dyDescent="0.25">
      <c r="A19" s="1"/>
      <c r="B19" s="105" t="s">
        <v>24</v>
      </c>
      <c r="C19" s="106"/>
      <c r="D19" s="107"/>
      <c r="E19" s="9">
        <v>-2127821.4412797042</v>
      </c>
      <c r="F19" s="8" t="s">
        <v>3</v>
      </c>
      <c r="G19" s="1"/>
    </row>
    <row r="20" spans="1:7" x14ac:dyDescent="0.25">
      <c r="A20" s="1"/>
      <c r="B20" s="108" t="s">
        <v>19</v>
      </c>
      <c r="C20" s="109"/>
      <c r="D20" s="110"/>
      <c r="E20" s="31">
        <f>SUM(E9:E19)</f>
        <v>157151974.39372048</v>
      </c>
      <c r="F20" s="34" t="s">
        <v>3</v>
      </c>
      <c r="G20" s="1"/>
    </row>
    <row r="21" spans="1:7" x14ac:dyDescent="0.25">
      <c r="A21" s="1"/>
      <c r="B21" s="67" t="s">
        <v>11</v>
      </c>
      <c r="C21" s="68"/>
      <c r="D21" s="68"/>
      <c r="E21" s="68"/>
      <c r="F21" s="19"/>
      <c r="G21" s="1"/>
    </row>
    <row r="22" spans="1:7" x14ac:dyDescent="0.25">
      <c r="A22" s="1"/>
      <c r="B22" s="116" t="s">
        <v>11</v>
      </c>
      <c r="C22" s="117"/>
      <c r="D22" s="118"/>
      <c r="E22" s="10">
        <v>109759691.82985474</v>
      </c>
      <c r="F22" s="11" t="s">
        <v>3</v>
      </c>
      <c r="G22" s="1"/>
    </row>
    <row r="23" spans="1:7" ht="15" customHeight="1" x14ac:dyDescent="0.25">
      <c r="A23" s="1"/>
      <c r="B23" s="114" t="s">
        <v>80</v>
      </c>
      <c r="C23" s="115"/>
      <c r="D23" s="115"/>
      <c r="E23" s="68"/>
      <c r="F23" s="68"/>
      <c r="G23" s="1"/>
    </row>
    <row r="24" spans="1:7" ht="14.25" customHeight="1" x14ac:dyDescent="0.25">
      <c r="A24" s="1"/>
      <c r="B24" s="102" t="s">
        <v>76</v>
      </c>
      <c r="C24" s="103"/>
      <c r="D24" s="104"/>
      <c r="E24" s="9">
        <v>948647.95173961495</v>
      </c>
      <c r="F24" s="8" t="s">
        <v>3</v>
      </c>
      <c r="G24" s="1"/>
    </row>
    <row r="25" spans="1:7" ht="14.25" customHeight="1" x14ac:dyDescent="0.25">
      <c r="A25" s="1"/>
      <c r="B25" s="102" t="s">
        <v>77</v>
      </c>
      <c r="C25" s="103"/>
      <c r="D25" s="104"/>
      <c r="E25" s="9">
        <v>0</v>
      </c>
      <c r="F25" s="8" t="s">
        <v>3</v>
      </c>
      <c r="G25" s="1"/>
    </row>
    <row r="26" spans="1:7" x14ac:dyDescent="0.25">
      <c r="A26" s="1"/>
      <c r="B26" s="111" t="s">
        <v>81</v>
      </c>
      <c r="C26" s="112"/>
      <c r="D26" s="112"/>
      <c r="E26" s="10">
        <v>948647.95173961495</v>
      </c>
      <c r="F26" s="11" t="s">
        <v>3</v>
      </c>
      <c r="G26" s="1"/>
    </row>
    <row r="27" spans="1:7" x14ac:dyDescent="0.25">
      <c r="A27" s="1"/>
      <c r="B27" s="67" t="s">
        <v>128</v>
      </c>
      <c r="C27" s="68"/>
      <c r="D27" s="68"/>
      <c r="E27" s="68"/>
      <c r="F27" s="19"/>
      <c r="G27" s="1"/>
    </row>
    <row r="28" spans="1:7" ht="15" customHeight="1" x14ac:dyDescent="0.25">
      <c r="A28" s="1"/>
      <c r="B28" s="111" t="s">
        <v>129</v>
      </c>
      <c r="C28" s="112"/>
      <c r="D28" s="113"/>
      <c r="E28" s="10">
        <v>0</v>
      </c>
      <c r="F28" s="11" t="s">
        <v>3</v>
      </c>
      <c r="G28" s="1"/>
    </row>
    <row r="29" spans="1:7" x14ac:dyDescent="0.25">
      <c r="A29" s="1"/>
      <c r="B29" s="67" t="s">
        <v>159</v>
      </c>
      <c r="C29" s="68"/>
      <c r="D29" s="68"/>
      <c r="E29" s="68"/>
      <c r="F29" s="19"/>
      <c r="G29" s="1"/>
    </row>
    <row r="30" spans="1:7" ht="15.75" customHeight="1" x14ac:dyDescent="0.25">
      <c r="A30" s="1"/>
      <c r="B30" s="116" t="s">
        <v>160</v>
      </c>
      <c r="C30" s="117"/>
      <c r="D30" s="118"/>
      <c r="E30" s="10">
        <v>0</v>
      </c>
      <c r="F30" s="11" t="s">
        <v>3</v>
      </c>
      <c r="G30" s="1"/>
    </row>
    <row r="31" spans="1:7" ht="15.75" customHeight="1" x14ac:dyDescent="0.25">
      <c r="A31" s="1"/>
      <c r="B31" s="119" t="s">
        <v>153</v>
      </c>
      <c r="C31" s="120"/>
      <c r="D31" s="120"/>
      <c r="E31" s="120"/>
      <c r="F31" s="121"/>
      <c r="G31" s="1"/>
    </row>
    <row r="32" spans="1:7" ht="15.75"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267860314.17531484</v>
      </c>
      <c r="F33" s="37" t="s">
        <v>3</v>
      </c>
      <c r="G33" s="1"/>
    </row>
    <row r="34" spans="1:7" ht="27.75" customHeight="1" x14ac:dyDescent="0.25">
      <c r="A34" s="1"/>
      <c r="B34" s="102" t="s">
        <v>173</v>
      </c>
      <c r="C34" s="103"/>
      <c r="D34" s="103"/>
      <c r="E34" s="103"/>
      <c r="F34" s="10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utcmoik0nqOdzVOgy93tw/A9tya9lIkXs9XOhRe0QpWZ1Q4EsO5zZMySIhXdqNPR6nutoyre9MdY0MEk13fknA==" saltValue="HQ6UMgRsTB8PvQkWZ47Gtw=="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3" customWidth="1"/>
    <col min="8" max="8" width="3.7109375" style="2" customWidth="1"/>
    <col min="9" max="9" width="6.7109375" style="2" customWidth="1"/>
    <col min="10" max="16384" width="9" style="2"/>
  </cols>
  <sheetData>
    <row r="1" spans="1:9" ht="15" customHeight="1" x14ac:dyDescent="0.25">
      <c r="A1" s="1"/>
      <c r="B1" s="122" t="s">
        <v>98</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19" t="s">
        <v>49</v>
      </c>
      <c r="C4" s="120"/>
      <c r="D4" s="120"/>
      <c r="E4" s="120"/>
      <c r="F4" s="120"/>
      <c r="G4" s="120"/>
      <c r="H4" s="121"/>
      <c r="I4" s="1"/>
    </row>
    <row r="5" spans="1:9" x14ac:dyDescent="0.25">
      <c r="A5" s="1"/>
      <c r="B5" s="126" t="s">
        <v>38</v>
      </c>
      <c r="C5" s="127"/>
      <c r="D5" s="127"/>
      <c r="E5" s="127"/>
      <c r="F5" s="128"/>
      <c r="G5" s="58">
        <v>85467454.418774232</v>
      </c>
      <c r="H5" s="14" t="s">
        <v>3</v>
      </c>
      <c r="I5" s="1"/>
    </row>
    <row r="6" spans="1:9" x14ac:dyDescent="0.25">
      <c r="A6" s="1"/>
      <c r="B6" s="126" t="s">
        <v>39</v>
      </c>
      <c r="C6" s="127"/>
      <c r="D6" s="127"/>
      <c r="E6" s="127"/>
      <c r="F6" s="128"/>
      <c r="G6" s="58">
        <f>G5*'Fane 13. Nøgletal'!C31</f>
        <v>1709349.0883754846</v>
      </c>
      <c r="H6" s="14" t="s">
        <v>3</v>
      </c>
      <c r="I6" s="1"/>
    </row>
    <row r="7" spans="1:9" x14ac:dyDescent="0.25">
      <c r="A7" s="1"/>
      <c r="B7" s="67"/>
      <c r="C7" s="68"/>
      <c r="D7" s="68"/>
      <c r="E7" s="68"/>
      <c r="F7" s="68"/>
      <c r="G7" s="59"/>
      <c r="H7" s="19"/>
      <c r="I7" s="1"/>
    </row>
    <row r="8" spans="1:9" x14ac:dyDescent="0.25">
      <c r="A8" s="1"/>
      <c r="B8" s="1"/>
      <c r="C8" s="1"/>
      <c r="D8" s="1"/>
      <c r="E8" s="1"/>
      <c r="F8" s="1"/>
      <c r="G8" s="60"/>
      <c r="H8" s="1"/>
      <c r="I8" s="1"/>
    </row>
    <row r="9" spans="1:9" x14ac:dyDescent="0.25">
      <c r="A9" s="1"/>
      <c r="B9" s="119" t="s">
        <v>50</v>
      </c>
      <c r="C9" s="120"/>
      <c r="D9" s="120"/>
      <c r="E9" s="120"/>
      <c r="F9" s="120"/>
      <c r="G9" s="132"/>
      <c r="H9" s="121"/>
      <c r="I9" s="1"/>
    </row>
    <row r="10" spans="1:9" x14ac:dyDescent="0.25">
      <c r="A10" s="1"/>
      <c r="B10" s="126" t="s">
        <v>40</v>
      </c>
      <c r="C10" s="127"/>
      <c r="D10" s="127"/>
      <c r="E10" s="127"/>
      <c r="F10" s="128"/>
      <c r="G10" s="58">
        <f>(G5-G6)*(1+'Fane 13. Nøgletal'!C9)</f>
        <v>84821833.268094808</v>
      </c>
      <c r="H10" s="14" t="s">
        <v>3</v>
      </c>
      <c r="I10" s="1"/>
    </row>
    <row r="11" spans="1:9" x14ac:dyDescent="0.25">
      <c r="A11" s="1"/>
      <c r="B11" s="129" t="s">
        <v>41</v>
      </c>
      <c r="C11" s="130"/>
      <c r="D11" s="130"/>
      <c r="E11" s="130"/>
      <c r="F11" s="131"/>
      <c r="G11" s="58">
        <v>0</v>
      </c>
      <c r="H11" s="14" t="s">
        <v>3</v>
      </c>
      <c r="I11" s="1"/>
    </row>
    <row r="12" spans="1:9" x14ac:dyDescent="0.25">
      <c r="A12" s="1"/>
      <c r="B12" s="126" t="s">
        <v>42</v>
      </c>
      <c r="C12" s="127"/>
      <c r="D12" s="127"/>
      <c r="E12" s="127"/>
      <c r="F12" s="128"/>
      <c r="G12" s="58">
        <f>(G10+G11)*'Fane 13. Nøgletal'!C31</f>
        <v>1696436.6653618962</v>
      </c>
      <c r="H12" s="14" t="s">
        <v>3</v>
      </c>
      <c r="I12" s="1"/>
    </row>
    <row r="13" spans="1:9" x14ac:dyDescent="0.25">
      <c r="A13" s="1"/>
      <c r="B13" s="67"/>
      <c r="C13" s="68"/>
      <c r="D13" s="68"/>
      <c r="E13" s="68"/>
      <c r="F13" s="68"/>
      <c r="G13" s="59"/>
      <c r="H13" s="19"/>
      <c r="I13" s="1"/>
    </row>
    <row r="14" spans="1:9" x14ac:dyDescent="0.25">
      <c r="A14" s="1"/>
      <c r="B14" s="1"/>
      <c r="C14" s="1"/>
      <c r="D14" s="1"/>
      <c r="E14" s="1"/>
      <c r="F14" s="1"/>
      <c r="G14" s="60"/>
      <c r="H14" s="1"/>
      <c r="I14" s="1"/>
    </row>
    <row r="15" spans="1:9" x14ac:dyDescent="0.25">
      <c r="A15" s="1"/>
      <c r="B15" s="119" t="s">
        <v>51</v>
      </c>
      <c r="C15" s="120"/>
      <c r="D15" s="120"/>
      <c r="E15" s="120"/>
      <c r="F15" s="120"/>
      <c r="G15" s="132"/>
      <c r="H15" s="121"/>
      <c r="I15" s="1"/>
    </row>
    <row r="16" spans="1:9" x14ac:dyDescent="0.25">
      <c r="A16" s="1"/>
      <c r="B16" s="126" t="s">
        <v>43</v>
      </c>
      <c r="C16" s="127"/>
      <c r="D16" s="127"/>
      <c r="E16" s="127"/>
      <c r="F16" s="128"/>
      <c r="G16" s="58">
        <f>(G10+G11-G12)*(1+'Fane 13. Nøgletal'!C11)</f>
        <v>84530215.805319086</v>
      </c>
      <c r="H16" s="14" t="s">
        <v>3</v>
      </c>
      <c r="I16" s="1"/>
    </row>
    <row r="17" spans="1:9" x14ac:dyDescent="0.25">
      <c r="A17" s="1"/>
      <c r="B17" s="126" t="s">
        <v>108</v>
      </c>
      <c r="C17" s="127"/>
      <c r="D17" s="127"/>
      <c r="E17" s="127"/>
      <c r="F17" s="128"/>
      <c r="G17" s="58">
        <v>-995555.01990382432</v>
      </c>
      <c r="H17" s="14" t="s">
        <v>3</v>
      </c>
      <c r="I17" s="1"/>
    </row>
    <row r="18" spans="1:9" x14ac:dyDescent="0.25">
      <c r="A18" s="1"/>
      <c r="B18" s="129" t="s">
        <v>44</v>
      </c>
      <c r="C18" s="130"/>
      <c r="D18" s="130"/>
      <c r="E18" s="130"/>
      <c r="F18" s="131"/>
      <c r="G18" s="58">
        <v>4083456.1996477689</v>
      </c>
      <c r="H18" s="14" t="s">
        <v>3</v>
      </c>
      <c r="I18" s="1"/>
    </row>
    <row r="19" spans="1:9" x14ac:dyDescent="0.25">
      <c r="A19" s="1"/>
      <c r="B19" s="126" t="s">
        <v>45</v>
      </c>
      <c r="C19" s="127"/>
      <c r="D19" s="127"/>
      <c r="E19" s="127"/>
      <c r="F19" s="128"/>
      <c r="G19" s="58">
        <f>SUM(G16:G18)*'Fane 13. Nøgletal'!C31</f>
        <v>1752362.3397012607</v>
      </c>
      <c r="H19" s="14" t="s">
        <v>3</v>
      </c>
      <c r="I19" s="1"/>
    </row>
    <row r="20" spans="1:9" x14ac:dyDescent="0.25">
      <c r="A20" s="1"/>
      <c r="B20" s="67"/>
      <c r="C20" s="68"/>
      <c r="D20" s="68"/>
      <c r="E20" s="68"/>
      <c r="F20" s="68"/>
      <c r="G20" s="59"/>
      <c r="H20" s="19"/>
      <c r="I20" s="1"/>
    </row>
    <row r="21" spans="1:9" x14ac:dyDescent="0.25">
      <c r="A21" s="1"/>
      <c r="B21" s="1"/>
      <c r="C21" s="1"/>
      <c r="D21" s="1"/>
      <c r="E21" s="1"/>
      <c r="F21" s="1"/>
      <c r="G21" s="60"/>
      <c r="H21" s="1"/>
      <c r="I21" s="1"/>
    </row>
    <row r="22" spans="1:9" x14ac:dyDescent="0.25">
      <c r="A22" s="1"/>
      <c r="B22" s="119" t="s">
        <v>52</v>
      </c>
      <c r="C22" s="120"/>
      <c r="D22" s="120"/>
      <c r="E22" s="120"/>
      <c r="F22" s="120"/>
      <c r="G22" s="132"/>
      <c r="H22" s="121"/>
      <c r="I22" s="1"/>
    </row>
    <row r="23" spans="1:9" x14ac:dyDescent="0.25">
      <c r="A23" s="1"/>
      <c r="B23" s="126" t="s">
        <v>46</v>
      </c>
      <c r="C23" s="127"/>
      <c r="D23" s="127"/>
      <c r="E23" s="127"/>
      <c r="F23" s="128"/>
      <c r="G23" s="58">
        <f>(SUM(G16:G18)-G19)*(1+'Fane 13. Nøgletal'!C11)</f>
        <v>87316885.898868367</v>
      </c>
      <c r="H23" s="14" t="s">
        <v>3</v>
      </c>
      <c r="I23" s="1"/>
    </row>
    <row r="24" spans="1:9" x14ac:dyDescent="0.25">
      <c r="A24" s="1"/>
      <c r="B24" s="129" t="s">
        <v>47</v>
      </c>
      <c r="C24" s="130"/>
      <c r="D24" s="130"/>
      <c r="E24" s="130"/>
      <c r="F24" s="131"/>
      <c r="G24" s="58">
        <v>6142832.0038235709</v>
      </c>
      <c r="H24" s="14" t="s">
        <v>3</v>
      </c>
      <c r="I24" s="1"/>
    </row>
    <row r="25" spans="1:9" x14ac:dyDescent="0.25">
      <c r="A25" s="1"/>
      <c r="B25" s="126" t="s">
        <v>48</v>
      </c>
      <c r="C25" s="127"/>
      <c r="D25" s="127"/>
      <c r="E25" s="127"/>
      <c r="F25" s="128"/>
      <c r="G25" s="58">
        <f>(G23+G24)*'Fane 13. Nøgletal'!C31</f>
        <v>1869194.3580538386</v>
      </c>
      <c r="H25" s="14" t="s">
        <v>3</v>
      </c>
      <c r="I25" s="1"/>
    </row>
    <row r="26" spans="1:9" x14ac:dyDescent="0.25">
      <c r="A26" s="1"/>
      <c r="B26" s="67"/>
      <c r="C26" s="68"/>
      <c r="D26" s="68"/>
      <c r="E26" s="68"/>
      <c r="F26" s="68"/>
      <c r="G26" s="59"/>
      <c r="H26" s="19"/>
      <c r="I26" s="1"/>
    </row>
    <row r="27" spans="1:9" x14ac:dyDescent="0.25">
      <c r="A27" s="1"/>
      <c r="B27" s="1"/>
      <c r="C27" s="1"/>
      <c r="D27" s="1"/>
      <c r="E27" s="1"/>
      <c r="F27" s="1"/>
      <c r="G27" s="60"/>
      <c r="H27" s="1"/>
      <c r="I27" s="1"/>
    </row>
    <row r="28" spans="1:9" x14ac:dyDescent="0.25">
      <c r="A28" s="1"/>
      <c r="B28" s="119" t="s">
        <v>132</v>
      </c>
      <c r="C28" s="120"/>
      <c r="D28" s="120"/>
      <c r="E28" s="120"/>
      <c r="F28" s="120"/>
      <c r="G28" s="132"/>
      <c r="H28" s="121"/>
      <c r="I28" s="1"/>
    </row>
    <row r="29" spans="1:9" x14ac:dyDescent="0.25">
      <c r="A29" s="1"/>
      <c r="B29" s="126" t="s">
        <v>55</v>
      </c>
      <c r="C29" s="127"/>
      <c r="D29" s="127"/>
      <c r="E29" s="127"/>
      <c r="F29" s="128"/>
      <c r="G29" s="58">
        <f>(G23+G24-G25)*(1+'Fane 13. Nøgletal'!C13)</f>
        <v>92707927.931882679</v>
      </c>
      <c r="H29" s="14" t="s">
        <v>3</v>
      </c>
      <c r="I29" s="1"/>
    </row>
    <row r="30" spans="1:9" x14ac:dyDescent="0.25">
      <c r="A30" s="1"/>
      <c r="B30" s="126" t="s">
        <v>121</v>
      </c>
      <c r="C30" s="127"/>
      <c r="D30" s="127"/>
      <c r="E30" s="127"/>
      <c r="F30" s="128"/>
      <c r="G30" s="58">
        <v>-1808000.8545853335</v>
      </c>
      <c r="H30" s="14" t="s">
        <v>3</v>
      </c>
      <c r="I30" s="1"/>
    </row>
    <row r="31" spans="1:9" x14ac:dyDescent="0.25">
      <c r="A31" s="1"/>
      <c r="B31" s="126" t="s">
        <v>126</v>
      </c>
      <c r="C31" s="127"/>
      <c r="D31" s="127"/>
      <c r="E31" s="127"/>
      <c r="F31" s="128"/>
      <c r="G31" s="58">
        <f>(G29+G30)*'Fane 13. Nøgletal'!C31</f>
        <v>1817998.5415459468</v>
      </c>
      <c r="H31" s="14" t="s">
        <v>3</v>
      </c>
      <c r="I31" s="1"/>
    </row>
    <row r="32" spans="1:9" x14ac:dyDescent="0.25">
      <c r="A32" s="1"/>
      <c r="B32" s="67"/>
      <c r="C32" s="68"/>
      <c r="D32" s="68"/>
      <c r="E32" s="68"/>
      <c r="F32" s="68"/>
      <c r="G32" s="59"/>
      <c r="H32" s="19"/>
      <c r="I32" s="1"/>
    </row>
    <row r="33" spans="1:9" x14ac:dyDescent="0.25">
      <c r="A33" s="1"/>
      <c r="B33" s="1"/>
      <c r="C33" s="1"/>
      <c r="D33" s="1"/>
      <c r="E33" s="1"/>
      <c r="F33" s="1"/>
      <c r="G33" s="60"/>
      <c r="H33" s="1"/>
      <c r="I33" s="1"/>
    </row>
    <row r="34" spans="1:9" x14ac:dyDescent="0.25">
      <c r="A34" s="1"/>
      <c r="B34" s="119" t="s">
        <v>133</v>
      </c>
      <c r="C34" s="120"/>
      <c r="D34" s="120"/>
      <c r="E34" s="120"/>
      <c r="F34" s="120"/>
      <c r="G34" s="132"/>
      <c r="H34" s="121"/>
      <c r="I34" s="1"/>
    </row>
    <row r="35" spans="1:9" x14ac:dyDescent="0.25">
      <c r="A35" s="1"/>
      <c r="B35" s="126" t="s">
        <v>74</v>
      </c>
      <c r="C35" s="127"/>
      <c r="D35" s="127"/>
      <c r="E35" s="127"/>
      <c r="F35" s="128"/>
      <c r="G35" s="58">
        <f>(G29+G30-G31)*(1+'Fane 13. Nøgletal'!C13)</f>
        <v>90168728.063887566</v>
      </c>
      <c r="H35" s="14" t="s">
        <v>3</v>
      </c>
      <c r="I35" s="1"/>
    </row>
    <row r="36" spans="1:9" x14ac:dyDescent="0.25">
      <c r="A36" s="1"/>
      <c r="B36" s="126" t="s">
        <v>152</v>
      </c>
      <c r="C36" s="127"/>
      <c r="D36" s="127"/>
      <c r="E36" s="127"/>
      <c r="F36" s="128"/>
      <c r="G36" s="58">
        <f>('Fane 3. Omkostninger i ØR2022'!E10+'Fane 3. Omkostninger i ØR2022'!E12+'Fane 3. Omkostninger i ØR2022'!E14)*(1+'Fane 13. Nøgletal'!C14)</f>
        <v>2031842.0682432202</v>
      </c>
      <c r="H36" s="14" t="s">
        <v>3</v>
      </c>
      <c r="I36" s="1"/>
    </row>
    <row r="37" spans="1:9" x14ac:dyDescent="0.25">
      <c r="A37" s="1"/>
      <c r="B37" s="126" t="s">
        <v>134</v>
      </c>
      <c r="C37" s="127"/>
      <c r="D37" s="127"/>
      <c r="E37" s="127"/>
      <c r="F37" s="128"/>
      <c r="G37" s="58">
        <f>(G35+G36)*'Fane 13. Nøgletal'!C31</f>
        <v>1844011.4026426158</v>
      </c>
      <c r="H37" s="14" t="s">
        <v>3</v>
      </c>
      <c r="I37" s="1"/>
    </row>
    <row r="38" spans="1:9" x14ac:dyDescent="0.25">
      <c r="A38" s="1"/>
      <c r="B38" s="67"/>
      <c r="C38" s="68"/>
      <c r="D38" s="68"/>
      <c r="E38" s="68"/>
      <c r="F38" s="68"/>
      <c r="G38" s="59"/>
      <c r="H38" s="19"/>
      <c r="I38" s="1"/>
    </row>
    <row r="39" spans="1:9" x14ac:dyDescent="0.25">
      <c r="A39" s="1"/>
      <c r="B39" s="1"/>
      <c r="C39" s="1"/>
      <c r="D39" s="1"/>
      <c r="E39" s="1"/>
      <c r="F39" s="1"/>
      <c r="G39" s="60"/>
      <c r="H39" s="1"/>
      <c r="I39" s="1"/>
    </row>
    <row r="40" spans="1:9" x14ac:dyDescent="0.25">
      <c r="A40" s="1"/>
      <c r="B40" s="119" t="s">
        <v>198</v>
      </c>
      <c r="C40" s="120"/>
      <c r="D40" s="120"/>
      <c r="E40" s="120"/>
      <c r="F40" s="120"/>
      <c r="G40" s="132"/>
      <c r="H40" s="121"/>
      <c r="I40" s="1"/>
    </row>
    <row r="41" spans="1:9" x14ac:dyDescent="0.25">
      <c r="A41" s="1"/>
      <c r="B41" s="126" t="s">
        <v>73</v>
      </c>
      <c r="C41" s="127"/>
      <c r="D41" s="127"/>
      <c r="E41" s="127"/>
      <c r="F41" s="128"/>
      <c r="G41" s="58">
        <f>(G35+G36-G37)*(1+'Fane 13. Nøgletal'!C15)</f>
        <v>93573252.220257953</v>
      </c>
      <c r="H41" s="14" t="s">
        <v>3</v>
      </c>
      <c r="I41" s="1"/>
    </row>
    <row r="42" spans="1:9" x14ac:dyDescent="0.25">
      <c r="A42" s="1"/>
      <c r="B42" s="126" t="s">
        <v>197</v>
      </c>
      <c r="C42" s="127"/>
      <c r="D42" s="127"/>
      <c r="E42" s="127"/>
      <c r="F42" s="128"/>
      <c r="G42" s="58">
        <f>('Fane 2.1. Økonomisk ramme 2023'!C9+'Fane 2.1. Økonomisk ramme 2023'!C11+'Fane 2.1. Økonomisk ramme 2023'!C13)*(1+'Fane 13. Nøgletal'!C15)</f>
        <v>3299452.2678441606</v>
      </c>
      <c r="H42" s="14" t="s">
        <v>3</v>
      </c>
      <c r="I42" s="1"/>
    </row>
    <row r="43" spans="1:9" x14ac:dyDescent="0.25">
      <c r="A43" s="1"/>
      <c r="B43" s="126" t="s">
        <v>208</v>
      </c>
      <c r="C43" s="127"/>
      <c r="D43" s="127"/>
      <c r="E43" s="127"/>
      <c r="F43" s="128"/>
      <c r="G43" s="58">
        <f>(G41+G42)*'Fane 13. Nøgletal'!C31</f>
        <v>1937454.0897620423</v>
      </c>
      <c r="H43" s="14" t="s">
        <v>3</v>
      </c>
      <c r="I43" s="1"/>
    </row>
    <row r="44" spans="1:9" x14ac:dyDescent="0.25">
      <c r="A44" s="1"/>
      <c r="B44" s="67"/>
      <c r="C44" s="68"/>
      <c r="D44" s="68"/>
      <c r="E44" s="68"/>
      <c r="F44" s="68"/>
      <c r="G44" s="59"/>
      <c r="H44" s="19"/>
      <c r="I44" s="1"/>
    </row>
    <row r="45" spans="1:9" x14ac:dyDescent="0.25">
      <c r="A45" s="1"/>
      <c r="B45" s="1"/>
      <c r="C45" s="1"/>
      <c r="D45" s="1"/>
      <c r="E45" s="1"/>
      <c r="F45" s="1"/>
      <c r="G45" s="60"/>
      <c r="H45" s="1"/>
      <c r="I45" s="1"/>
    </row>
    <row r="46" spans="1:9" x14ac:dyDescent="0.25">
      <c r="A46" s="1"/>
      <c r="B46" s="119" t="s">
        <v>199</v>
      </c>
      <c r="C46" s="120"/>
      <c r="D46" s="120"/>
      <c r="E46" s="120"/>
      <c r="F46" s="120"/>
      <c r="G46" s="132"/>
      <c r="H46" s="121"/>
      <c r="I46" s="1"/>
    </row>
    <row r="47" spans="1:9" x14ac:dyDescent="0.25">
      <c r="A47" s="1"/>
      <c r="B47" s="126" t="s">
        <v>122</v>
      </c>
      <c r="C47" s="127"/>
      <c r="D47" s="127"/>
      <c r="E47" s="127"/>
      <c r="F47" s="128"/>
      <c r="G47" s="58">
        <f>(G41+G42-G43)*(1+'Fane 13. Nøgletal'!C15)</f>
        <v>98314945.312520981</v>
      </c>
      <c r="H47" s="14" t="s">
        <v>3</v>
      </c>
      <c r="I47" s="1"/>
    </row>
    <row r="48" spans="1:9" x14ac:dyDescent="0.25">
      <c r="A48" s="1"/>
      <c r="B48" s="126" t="s">
        <v>209</v>
      </c>
      <c r="C48" s="127"/>
      <c r="D48" s="127"/>
      <c r="E48" s="127"/>
      <c r="F48" s="128"/>
      <c r="G48" s="58">
        <f>(G47)*'Fane 13. Nøgletal'!C31</f>
        <v>1966298.9062504196</v>
      </c>
      <c r="H48" s="14" t="s">
        <v>3</v>
      </c>
      <c r="I48" s="1"/>
    </row>
    <row r="49" spans="1:9" x14ac:dyDescent="0.25">
      <c r="A49" s="1"/>
      <c r="B49" s="67"/>
      <c r="C49" s="68"/>
      <c r="D49" s="68"/>
      <c r="E49" s="68"/>
      <c r="F49" s="68"/>
      <c r="G49" s="59"/>
      <c r="H49" s="19"/>
      <c r="I49" s="1"/>
    </row>
    <row r="50" spans="1:9" x14ac:dyDescent="0.25">
      <c r="A50" s="1"/>
      <c r="B50" s="1"/>
      <c r="C50" s="1"/>
      <c r="D50" s="1"/>
      <c r="E50" s="1"/>
      <c r="F50" s="1"/>
      <c r="G50" s="60"/>
      <c r="H50" s="1"/>
      <c r="I50" s="1"/>
    </row>
    <row r="51" spans="1:9" x14ac:dyDescent="0.25">
      <c r="A51" s="1"/>
      <c r="B51" s="119" t="s">
        <v>145</v>
      </c>
      <c r="C51" s="120"/>
      <c r="D51" s="120"/>
      <c r="E51" s="120"/>
      <c r="F51" s="120"/>
      <c r="G51" s="132"/>
      <c r="H51" s="121"/>
      <c r="I51" s="1"/>
    </row>
    <row r="52" spans="1:9" x14ac:dyDescent="0.25">
      <c r="A52" s="1"/>
      <c r="B52" s="126" t="s">
        <v>146</v>
      </c>
      <c r="C52" s="127"/>
      <c r="D52" s="127"/>
      <c r="E52" s="127"/>
      <c r="F52" s="128"/>
      <c r="G52" s="58">
        <f>(G47-G48)*(1+'Fane 13. Nøgletal'!C15)</f>
        <v>99778658.218333796</v>
      </c>
      <c r="H52" s="14" t="s">
        <v>3</v>
      </c>
      <c r="I52" s="1"/>
    </row>
    <row r="53" spans="1:9" x14ac:dyDescent="0.25">
      <c r="A53" s="1"/>
      <c r="B53" s="126" t="s">
        <v>147</v>
      </c>
      <c r="C53" s="127"/>
      <c r="D53" s="127"/>
      <c r="E53" s="127"/>
      <c r="F53" s="128"/>
      <c r="G53" s="58">
        <f>(G52)*'Fane 13. Nøgletal'!C31</f>
        <v>1995573.164366676</v>
      </c>
      <c r="H53" s="14" t="s">
        <v>3</v>
      </c>
      <c r="I53" s="1"/>
    </row>
    <row r="54" spans="1:9" x14ac:dyDescent="0.25">
      <c r="A54" s="1"/>
      <c r="B54" s="67"/>
      <c r="C54" s="68"/>
      <c r="D54" s="68"/>
      <c r="E54" s="68"/>
      <c r="F54" s="68"/>
      <c r="G54" s="59"/>
      <c r="H54" s="19"/>
      <c r="I54" s="1"/>
    </row>
    <row r="55" spans="1:9" x14ac:dyDescent="0.25">
      <c r="A55" s="1"/>
      <c r="B55" s="1"/>
      <c r="C55" s="1"/>
      <c r="D55" s="1"/>
      <c r="E55" s="1"/>
      <c r="F55" s="1"/>
      <c r="G55" s="60"/>
      <c r="H55" s="1"/>
      <c r="I55" s="1"/>
    </row>
    <row r="56" spans="1:9" x14ac:dyDescent="0.25">
      <c r="A56" s="1"/>
      <c r="B56" s="119" t="s">
        <v>174</v>
      </c>
      <c r="C56" s="120"/>
      <c r="D56" s="120"/>
      <c r="E56" s="120"/>
      <c r="F56" s="120"/>
      <c r="G56" s="132"/>
      <c r="H56" s="121"/>
      <c r="I56" s="1"/>
    </row>
    <row r="57" spans="1:9" x14ac:dyDescent="0.25">
      <c r="A57" s="1"/>
      <c r="B57" s="126" t="s">
        <v>175</v>
      </c>
      <c r="C57" s="127"/>
      <c r="D57" s="127"/>
      <c r="E57" s="127"/>
      <c r="F57" s="128"/>
      <c r="G57" s="58">
        <f>(G52-G53)*(1+'Fane 13. Nøgletal'!C15)</f>
        <v>101264162.88188836</v>
      </c>
      <c r="H57" s="14" t="s">
        <v>3</v>
      </c>
      <c r="I57" s="1"/>
    </row>
    <row r="58" spans="1:9" x14ac:dyDescent="0.25">
      <c r="A58" s="1"/>
      <c r="B58" s="126" t="s">
        <v>176</v>
      </c>
      <c r="C58" s="127"/>
      <c r="D58" s="127"/>
      <c r="E58" s="127"/>
      <c r="F58" s="128"/>
      <c r="G58" s="58">
        <f>(G57)*'Fane 13. Nøgletal'!C31</f>
        <v>2025283.2576377674</v>
      </c>
      <c r="H58" s="14" t="s">
        <v>3</v>
      </c>
      <c r="I58" s="1"/>
    </row>
    <row r="59" spans="1:9" x14ac:dyDescent="0.25">
      <c r="A59" s="1"/>
      <c r="B59" s="67"/>
      <c r="C59" s="68"/>
      <c r="D59" s="68"/>
      <c r="E59" s="68"/>
      <c r="F59" s="68"/>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65"/>
  <sheetViews>
    <sheetView showGridLines="0" view="pageLayout" zoomScaleNormal="120" workbookViewId="0"/>
  </sheetViews>
  <sheetFormatPr defaultColWidth="9" defaultRowHeight="15" x14ac:dyDescent="0.25"/>
  <cols>
    <col min="1" max="1" width="6.28515625" style="2" customWidth="1"/>
    <col min="2" max="5" width="9" style="2"/>
    <col min="6" max="6" width="24.28515625" style="2" customWidth="1"/>
    <col min="7" max="7" width="10.28515625" style="2" customWidth="1"/>
    <col min="8" max="8" width="2.85546875" style="2" bestFit="1" customWidth="1"/>
    <col min="9" max="9" width="6" style="2" customWidth="1"/>
    <col min="10" max="16384" width="9" style="2"/>
  </cols>
  <sheetData>
    <row r="1" spans="1:9" x14ac:dyDescent="0.25">
      <c r="A1" s="1"/>
      <c r="B1" s="133" t="s">
        <v>99</v>
      </c>
      <c r="C1" s="134"/>
      <c r="D1" s="134"/>
      <c r="E1" s="134"/>
      <c r="F1" s="134"/>
      <c r="G1" s="134"/>
      <c r="H1" s="134"/>
      <c r="I1" s="1"/>
    </row>
    <row r="2" spans="1:9" ht="19.899999999999999" customHeight="1" x14ac:dyDescent="0.25">
      <c r="A2" s="1"/>
      <c r="B2" s="134"/>
      <c r="C2" s="134"/>
      <c r="D2" s="134"/>
      <c r="E2" s="134"/>
      <c r="F2" s="134"/>
      <c r="G2" s="134"/>
      <c r="H2" s="134"/>
      <c r="I2" s="1"/>
    </row>
    <row r="3" spans="1:9" ht="15" customHeight="1" x14ac:dyDescent="0.25">
      <c r="A3" s="1"/>
      <c r="B3" s="135"/>
      <c r="C3" s="135"/>
      <c r="D3" s="135"/>
      <c r="E3" s="135"/>
      <c r="F3" s="135"/>
      <c r="G3" s="135"/>
      <c r="H3" s="135"/>
      <c r="I3" s="1"/>
    </row>
    <row r="4" spans="1:9" x14ac:dyDescent="0.25">
      <c r="A4" s="1"/>
      <c r="B4" s="119" t="s">
        <v>53</v>
      </c>
      <c r="C4" s="120"/>
      <c r="D4" s="120"/>
      <c r="E4" s="120"/>
      <c r="F4" s="120"/>
      <c r="G4" s="120"/>
      <c r="H4" s="121"/>
      <c r="I4" s="1"/>
    </row>
    <row r="5" spans="1:9" x14ac:dyDescent="0.25">
      <c r="A5" s="1"/>
      <c r="B5" s="126" t="s">
        <v>56</v>
      </c>
      <c r="C5" s="127"/>
      <c r="D5" s="127"/>
      <c r="E5" s="127"/>
      <c r="F5" s="128"/>
      <c r="G5" s="58">
        <v>67182599.401513278</v>
      </c>
      <c r="H5" s="14" t="s">
        <v>3</v>
      </c>
      <c r="I5" s="1"/>
    </row>
    <row r="6" spans="1:9" x14ac:dyDescent="0.25">
      <c r="A6" s="1"/>
      <c r="B6" s="126" t="s">
        <v>54</v>
      </c>
      <c r="C6" s="127"/>
      <c r="D6" s="127"/>
      <c r="E6" s="127"/>
      <c r="F6" s="128"/>
      <c r="G6" s="58">
        <f>G5*'Fane 13. Nøgletal'!C20</f>
        <v>611361.6545537709</v>
      </c>
      <c r="H6" s="14" t="s">
        <v>3</v>
      </c>
      <c r="I6" s="1"/>
    </row>
    <row r="7" spans="1:9" x14ac:dyDescent="0.25">
      <c r="A7" s="1"/>
      <c r="B7" s="67"/>
      <c r="C7" s="68"/>
      <c r="D7" s="68"/>
      <c r="E7" s="68"/>
      <c r="F7" s="68"/>
      <c r="G7" s="61"/>
      <c r="H7" s="19"/>
      <c r="I7" s="1"/>
    </row>
    <row r="8" spans="1:9" x14ac:dyDescent="0.25">
      <c r="A8" s="1"/>
      <c r="B8" s="1"/>
      <c r="C8" s="1"/>
      <c r="D8" s="1"/>
      <c r="E8" s="1"/>
      <c r="F8" s="1"/>
      <c r="G8" s="62"/>
      <c r="H8" s="1"/>
      <c r="I8" s="1"/>
    </row>
    <row r="9" spans="1:9" x14ac:dyDescent="0.25">
      <c r="A9" s="1"/>
      <c r="B9" s="119" t="s">
        <v>57</v>
      </c>
      <c r="C9" s="120"/>
      <c r="D9" s="120"/>
      <c r="E9" s="120"/>
      <c r="F9" s="120"/>
      <c r="G9" s="132"/>
      <c r="H9" s="121"/>
      <c r="I9" s="1"/>
    </row>
    <row r="10" spans="1:9" x14ac:dyDescent="0.25">
      <c r="A10" s="1"/>
      <c r="B10" s="126" t="s">
        <v>58</v>
      </c>
      <c r="C10" s="127"/>
      <c r="D10" s="127"/>
      <c r="E10" s="127"/>
      <c r="F10" s="128"/>
      <c r="G10" s="58">
        <f>(G5-G6)*(1+'Fane 13. Nøgletal'!C9)</f>
        <v>67416692.466345891</v>
      </c>
      <c r="H10" s="14" t="s">
        <v>3</v>
      </c>
      <c r="I10" s="1"/>
    </row>
    <row r="11" spans="1:9" x14ac:dyDescent="0.25">
      <c r="A11" s="1"/>
      <c r="B11" s="129" t="s">
        <v>59</v>
      </c>
      <c r="C11" s="130"/>
      <c r="D11" s="130"/>
      <c r="E11" s="130"/>
      <c r="F11" s="131"/>
      <c r="G11" s="63">
        <v>0</v>
      </c>
      <c r="H11" s="14" t="s">
        <v>3</v>
      </c>
      <c r="I11" s="1"/>
    </row>
    <row r="12" spans="1:9" x14ac:dyDescent="0.25">
      <c r="A12" s="1"/>
      <c r="B12" s="126" t="s">
        <v>60</v>
      </c>
      <c r="C12" s="127"/>
      <c r="D12" s="127"/>
      <c r="E12" s="127"/>
      <c r="F12" s="128"/>
      <c r="G12" s="58">
        <f>G10*'Fane 13. Nøgletal'!C20+G11*'Fane 13. Nøgletal'!C21</f>
        <v>613491.90144374769</v>
      </c>
      <c r="H12" s="14" t="s">
        <v>3</v>
      </c>
      <c r="I12" s="1"/>
    </row>
    <row r="13" spans="1:9" x14ac:dyDescent="0.25">
      <c r="A13" s="1"/>
      <c r="B13" s="67"/>
      <c r="C13" s="68"/>
      <c r="D13" s="68"/>
      <c r="E13" s="68"/>
      <c r="F13" s="68"/>
      <c r="G13" s="61"/>
      <c r="H13" s="19"/>
      <c r="I13" s="1"/>
    </row>
    <row r="14" spans="1:9" x14ac:dyDescent="0.25">
      <c r="A14" s="1"/>
      <c r="B14" s="1"/>
      <c r="C14" s="1"/>
      <c r="D14" s="1"/>
      <c r="E14" s="1"/>
      <c r="F14" s="1"/>
      <c r="G14" s="62"/>
      <c r="H14" s="1"/>
      <c r="I14" s="1"/>
    </row>
    <row r="15" spans="1:9" x14ac:dyDescent="0.25">
      <c r="A15" s="1"/>
      <c r="B15" s="119" t="s">
        <v>61</v>
      </c>
      <c r="C15" s="120"/>
      <c r="D15" s="120"/>
      <c r="E15" s="120"/>
      <c r="F15" s="120"/>
      <c r="G15" s="132"/>
      <c r="H15" s="121"/>
      <c r="I15" s="1"/>
    </row>
    <row r="16" spans="1:9" x14ac:dyDescent="0.25">
      <c r="A16" s="1"/>
      <c r="B16" s="126" t="s">
        <v>62</v>
      </c>
      <c r="C16" s="127"/>
      <c r="D16" s="127"/>
      <c r="E16" s="127"/>
      <c r="F16" s="128"/>
      <c r="G16" s="58">
        <f>(G10+G11-G12)*(1+'Fane 13. Nøgletal'!C11)</f>
        <v>67932174.654448986</v>
      </c>
      <c r="H16" s="14" t="s">
        <v>3</v>
      </c>
      <c r="I16" s="1"/>
    </row>
    <row r="17" spans="1:9" x14ac:dyDescent="0.25">
      <c r="A17" s="1"/>
      <c r="B17" s="126" t="s">
        <v>109</v>
      </c>
      <c r="C17" s="127"/>
      <c r="D17" s="127"/>
      <c r="E17" s="127"/>
      <c r="F17" s="128"/>
      <c r="G17" s="58">
        <v>1137877.5621923506</v>
      </c>
      <c r="H17" s="14" t="s">
        <v>3</v>
      </c>
      <c r="I17" s="1"/>
    </row>
    <row r="18" spans="1:9" x14ac:dyDescent="0.25">
      <c r="A18" s="1"/>
      <c r="B18" s="129" t="s">
        <v>63</v>
      </c>
      <c r="C18" s="130"/>
      <c r="D18" s="130"/>
      <c r="E18" s="130"/>
      <c r="F18" s="131"/>
      <c r="G18" s="58">
        <v>910366.57353398984</v>
      </c>
      <c r="H18" s="14" t="s">
        <v>3</v>
      </c>
      <c r="I18" s="1"/>
    </row>
    <row r="19" spans="1:9" x14ac:dyDescent="0.25">
      <c r="A19" s="1"/>
      <c r="B19" s="126" t="s">
        <v>64</v>
      </c>
      <c r="C19" s="127"/>
      <c r="D19" s="127"/>
      <c r="E19" s="127"/>
      <c r="F19" s="128"/>
      <c r="G19" s="58">
        <f>(G16+G17+G18)*'Fane 13. Nøgletal'!C22</f>
        <v>608829.64347452531</v>
      </c>
      <c r="H19" s="14" t="s">
        <v>3</v>
      </c>
      <c r="I19" s="1"/>
    </row>
    <row r="20" spans="1:9" x14ac:dyDescent="0.25">
      <c r="A20" s="1"/>
      <c r="B20" s="67"/>
      <c r="C20" s="68"/>
      <c r="D20" s="68"/>
      <c r="E20" s="68"/>
      <c r="F20" s="68"/>
      <c r="G20" s="61"/>
      <c r="H20" s="19"/>
      <c r="I20" s="1"/>
    </row>
    <row r="21" spans="1:9" x14ac:dyDescent="0.25">
      <c r="A21" s="1"/>
      <c r="B21" s="1"/>
      <c r="C21" s="1"/>
      <c r="D21" s="1"/>
      <c r="E21" s="1"/>
      <c r="F21" s="1"/>
      <c r="G21" s="62"/>
      <c r="H21" s="1"/>
      <c r="I21" s="1"/>
    </row>
    <row r="22" spans="1:9" x14ac:dyDescent="0.25">
      <c r="A22" s="1"/>
      <c r="B22" s="119" t="s">
        <v>65</v>
      </c>
      <c r="C22" s="120"/>
      <c r="D22" s="120"/>
      <c r="E22" s="120"/>
      <c r="F22" s="120"/>
      <c r="G22" s="132"/>
      <c r="H22" s="121"/>
      <c r="I22" s="1"/>
    </row>
    <row r="23" spans="1:9" x14ac:dyDescent="0.25">
      <c r="A23" s="1"/>
      <c r="B23" s="126" t="s">
        <v>66</v>
      </c>
      <c r="C23" s="127"/>
      <c r="D23" s="127"/>
      <c r="E23" s="127"/>
      <c r="F23" s="128"/>
      <c r="G23" s="58">
        <f>(SUM(G16:G18)-G19)*(1+'Fane 13. Nøgletal'!C11)</f>
        <v>70543969.003280059</v>
      </c>
      <c r="H23" s="14" t="s">
        <v>3</v>
      </c>
      <c r="I23" s="1"/>
    </row>
    <row r="24" spans="1:9" x14ac:dyDescent="0.25">
      <c r="A24" s="1"/>
      <c r="B24" s="129" t="s">
        <v>67</v>
      </c>
      <c r="C24" s="130"/>
      <c r="D24" s="130"/>
      <c r="E24" s="130"/>
      <c r="F24" s="131"/>
      <c r="G24" s="58">
        <v>1055761.3146385802</v>
      </c>
      <c r="H24" s="14" t="s">
        <v>3</v>
      </c>
      <c r="I24" s="1"/>
    </row>
    <row r="25" spans="1:9" x14ac:dyDescent="0.25">
      <c r="A25" s="1"/>
      <c r="B25" s="126" t="s">
        <v>68</v>
      </c>
      <c r="C25" s="127"/>
      <c r="D25" s="127"/>
      <c r="E25" s="127"/>
      <c r="F25" s="128"/>
      <c r="G25" s="58">
        <f>G23*'Fane 13. Nøgletal'!C22+G24*'Fane 13. Nøgletal'!C23</f>
        <v>643716.15166427218</v>
      </c>
      <c r="H25" s="14" t="s">
        <v>3</v>
      </c>
      <c r="I25" s="1"/>
    </row>
    <row r="26" spans="1:9" x14ac:dyDescent="0.25">
      <c r="A26" s="1"/>
      <c r="B26" s="67"/>
      <c r="C26" s="68"/>
      <c r="D26" s="68"/>
      <c r="E26" s="68"/>
      <c r="F26" s="68"/>
      <c r="G26" s="61"/>
      <c r="H26" s="19"/>
      <c r="I26" s="1"/>
    </row>
    <row r="27" spans="1:9" x14ac:dyDescent="0.25">
      <c r="A27" s="1"/>
      <c r="B27" s="1"/>
      <c r="C27" s="1"/>
      <c r="D27" s="1"/>
      <c r="E27" s="1"/>
      <c r="F27" s="1"/>
      <c r="G27" s="62"/>
      <c r="H27" s="1"/>
      <c r="I27" s="1"/>
    </row>
    <row r="28" spans="1:9" x14ac:dyDescent="0.25">
      <c r="A28" s="1"/>
      <c r="B28" s="119" t="s">
        <v>130</v>
      </c>
      <c r="C28" s="120"/>
      <c r="D28" s="120"/>
      <c r="E28" s="120"/>
      <c r="F28" s="120"/>
      <c r="G28" s="132"/>
      <c r="H28" s="121"/>
      <c r="I28" s="1"/>
    </row>
    <row r="29" spans="1:9" x14ac:dyDescent="0.25">
      <c r="A29" s="1"/>
      <c r="B29" s="126" t="s">
        <v>69</v>
      </c>
      <c r="C29" s="127"/>
      <c r="D29" s="127"/>
      <c r="E29" s="127"/>
      <c r="F29" s="128"/>
      <c r="G29" s="58">
        <f>(G23+G24-G25)*(1+'Fane 13. Nøgletal'!C13)</f>
        <v>71821677.539082676</v>
      </c>
      <c r="H29" s="14" t="s">
        <v>3</v>
      </c>
      <c r="I29" s="1"/>
    </row>
    <row r="30" spans="1:9" x14ac:dyDescent="0.25">
      <c r="A30" s="1"/>
      <c r="B30" s="126" t="s">
        <v>123</v>
      </c>
      <c r="C30" s="127"/>
      <c r="D30" s="127"/>
      <c r="E30" s="127"/>
      <c r="F30" s="128"/>
      <c r="G30" s="58">
        <v>6174871.8456751201</v>
      </c>
      <c r="H30" s="14" t="s">
        <v>3</v>
      </c>
      <c r="I30" s="1"/>
    </row>
    <row r="31" spans="1:9" x14ac:dyDescent="0.25">
      <c r="A31" s="1"/>
      <c r="B31" s="126" t="s">
        <v>131</v>
      </c>
      <c r="C31" s="127"/>
      <c r="D31" s="127"/>
      <c r="E31" s="127"/>
      <c r="F31" s="128"/>
      <c r="G31" s="58">
        <f>(G29+G30)*'Fane 13. Nøgletal'!C24</f>
        <v>2144905.1080808397</v>
      </c>
      <c r="H31" s="14" t="s">
        <v>3</v>
      </c>
      <c r="I31" s="1"/>
    </row>
    <row r="32" spans="1:9" x14ac:dyDescent="0.25">
      <c r="A32" s="1"/>
      <c r="B32" s="67"/>
      <c r="C32" s="68"/>
      <c r="D32" s="68"/>
      <c r="E32" s="68"/>
      <c r="F32" s="68"/>
      <c r="G32" s="61"/>
      <c r="H32" s="19"/>
      <c r="I32" s="1"/>
    </row>
    <row r="33" spans="1:9" x14ac:dyDescent="0.25">
      <c r="A33" s="1"/>
      <c r="B33" s="1"/>
      <c r="C33" s="1"/>
      <c r="D33" s="1"/>
      <c r="E33" s="1"/>
      <c r="F33" s="1"/>
      <c r="G33" s="62"/>
      <c r="H33" s="1"/>
      <c r="I33" s="1"/>
    </row>
    <row r="34" spans="1:9" x14ac:dyDescent="0.25">
      <c r="A34" s="1"/>
      <c r="B34" s="119" t="s">
        <v>135</v>
      </c>
      <c r="C34" s="120"/>
      <c r="D34" s="120"/>
      <c r="E34" s="120"/>
      <c r="F34" s="120"/>
      <c r="G34" s="132"/>
      <c r="H34" s="121"/>
      <c r="I34" s="1"/>
    </row>
    <row r="35" spans="1:9" x14ac:dyDescent="0.25">
      <c r="A35" s="1"/>
      <c r="B35" s="126" t="s">
        <v>72</v>
      </c>
      <c r="C35" s="127"/>
      <c r="D35" s="127"/>
      <c r="E35" s="127"/>
      <c r="F35" s="128"/>
      <c r="G35" s="58">
        <f>(G29+G30-G31)*(1+'Fane 13. Nøgletal'!C13)</f>
        <v>76777034.336852431</v>
      </c>
      <c r="H35" s="14" t="s">
        <v>3</v>
      </c>
      <c r="I35" s="1"/>
    </row>
    <row r="36" spans="1:9" x14ac:dyDescent="0.25">
      <c r="A36" s="1"/>
      <c r="B36" s="126" t="s">
        <v>141</v>
      </c>
      <c r="C36" s="127"/>
      <c r="D36" s="127"/>
      <c r="E36" s="127"/>
      <c r="F36" s="128"/>
      <c r="G36" s="58">
        <f>SUM('Fane 3. Omkostninger i ØR2022'!E11)*(1+'Fane 13. Nøgletal'!C14)</f>
        <v>1111688.9875853201</v>
      </c>
      <c r="H36" s="14" t="s">
        <v>3</v>
      </c>
      <c r="I36" s="1"/>
    </row>
    <row r="37" spans="1:9" x14ac:dyDescent="0.25">
      <c r="A37" s="1"/>
      <c r="B37" s="126" t="s">
        <v>136</v>
      </c>
      <c r="C37" s="127"/>
      <c r="D37" s="127"/>
      <c r="E37" s="127"/>
      <c r="F37" s="128"/>
      <c r="G37" s="58">
        <f>G35*'Fane 13. Nøgletal'!C24+G36*'Fane 13. Nøgletal'!C25</f>
        <v>2127821.4412797047</v>
      </c>
      <c r="H37" s="14" t="s">
        <v>3</v>
      </c>
      <c r="I37" s="1"/>
    </row>
    <row r="38" spans="1:9" x14ac:dyDescent="0.25">
      <c r="A38" s="1"/>
      <c r="B38" s="67"/>
      <c r="C38" s="68"/>
      <c r="D38" s="68"/>
      <c r="E38" s="68"/>
      <c r="F38" s="68"/>
      <c r="G38" s="61"/>
      <c r="H38" s="19"/>
      <c r="I38" s="1"/>
    </row>
    <row r="39" spans="1:9" x14ac:dyDescent="0.25">
      <c r="A39" s="1"/>
      <c r="B39" s="1"/>
      <c r="C39" s="1"/>
      <c r="D39" s="1"/>
      <c r="E39" s="1"/>
      <c r="F39" s="1"/>
      <c r="G39" s="62"/>
      <c r="H39" s="1"/>
      <c r="I39" s="1"/>
    </row>
    <row r="40" spans="1:9" x14ac:dyDescent="0.25">
      <c r="A40" s="1"/>
      <c r="B40" s="119" t="s">
        <v>200</v>
      </c>
      <c r="C40" s="120"/>
      <c r="D40" s="120"/>
      <c r="E40" s="120"/>
      <c r="F40" s="120"/>
      <c r="G40" s="132"/>
      <c r="H40" s="121"/>
      <c r="I40" s="1"/>
    </row>
    <row r="41" spans="1:9" x14ac:dyDescent="0.25">
      <c r="A41" s="1"/>
      <c r="B41" s="126" t="s">
        <v>71</v>
      </c>
      <c r="C41" s="127"/>
      <c r="D41" s="127"/>
      <c r="E41" s="127"/>
      <c r="F41" s="128"/>
      <c r="G41" s="58">
        <f>(G35+G36-G37)*(1+'Fane 13. Nøgletal'!C15)</f>
        <v>78457989.990198478</v>
      </c>
      <c r="H41" s="14" t="s">
        <v>3</v>
      </c>
      <c r="I41" s="1"/>
    </row>
    <row r="42" spans="1:9" x14ac:dyDescent="0.25">
      <c r="A42" s="1"/>
      <c r="B42" s="126" t="s">
        <v>211</v>
      </c>
      <c r="C42" s="127"/>
      <c r="D42" s="127"/>
      <c r="E42" s="127"/>
      <c r="F42" s="128"/>
      <c r="G42" s="63">
        <f>SUM('Fane 2.1. Økonomisk ramme 2023'!C10+'Fane 2.1. Økonomisk ramme 2023'!C12+'Fane 2.1. Økonomisk ramme 2023'!C14)*(1+'Fane 13. Nøgletal'!C15)</f>
        <v>3850024.8364473605</v>
      </c>
      <c r="H42" s="14" t="s">
        <v>3</v>
      </c>
      <c r="I42" s="1"/>
    </row>
    <row r="43" spans="1:9" x14ac:dyDescent="0.25">
      <c r="A43" s="1"/>
      <c r="B43" s="126" t="s">
        <v>70</v>
      </c>
      <c r="C43" s="127"/>
      <c r="D43" s="127"/>
      <c r="E43" s="127"/>
      <c r="F43" s="128"/>
      <c r="G43" s="58">
        <f>(G41+G42)*'Fane 13. Nøgletal'!C26</f>
        <v>0</v>
      </c>
      <c r="H43" s="14" t="s">
        <v>3</v>
      </c>
      <c r="I43" s="1"/>
    </row>
    <row r="44" spans="1:9" x14ac:dyDescent="0.25">
      <c r="A44" s="1"/>
      <c r="B44" s="67"/>
      <c r="C44" s="68"/>
      <c r="D44" s="68"/>
      <c r="E44" s="68"/>
      <c r="F44" s="68"/>
      <c r="G44" s="61"/>
      <c r="H44" s="19"/>
      <c r="I44" s="1"/>
    </row>
    <row r="45" spans="1:9" ht="12" customHeight="1" x14ac:dyDescent="0.25">
      <c r="A45" s="1"/>
      <c r="B45" s="1"/>
      <c r="C45" s="1"/>
      <c r="D45" s="1"/>
      <c r="E45" s="1"/>
      <c r="F45" s="1"/>
      <c r="G45" s="62"/>
      <c r="H45" s="1"/>
      <c r="I45" s="1"/>
    </row>
    <row r="46" spans="1:9" x14ac:dyDescent="0.25">
      <c r="A46" s="1"/>
      <c r="B46" s="119" t="s">
        <v>201</v>
      </c>
      <c r="C46" s="120"/>
      <c r="D46" s="120"/>
      <c r="E46" s="120"/>
      <c r="F46" s="120"/>
      <c r="G46" s="132"/>
      <c r="H46" s="121"/>
      <c r="I46" s="1"/>
    </row>
    <row r="47" spans="1:9" x14ac:dyDescent="0.25">
      <c r="A47" s="1"/>
      <c r="B47" s="126" t="s">
        <v>124</v>
      </c>
      <c r="C47" s="127"/>
      <c r="D47" s="127"/>
      <c r="E47" s="127"/>
      <c r="F47" s="128"/>
      <c r="G47" s="58">
        <f>(G41+G42-G43)*(1+'Fane 13. Nøgletal'!C15)</f>
        <v>85238180.154474437</v>
      </c>
      <c r="H47" s="14" t="s">
        <v>3</v>
      </c>
      <c r="I47" s="1"/>
    </row>
    <row r="48" spans="1:9" x14ac:dyDescent="0.25">
      <c r="A48" s="1"/>
      <c r="B48" s="126" t="s">
        <v>125</v>
      </c>
      <c r="C48" s="127"/>
      <c r="D48" s="127"/>
      <c r="E48" s="127"/>
      <c r="F48" s="128"/>
      <c r="G48" s="58">
        <f>(G47)*'Fane 13. Nøgletal'!C26</f>
        <v>0</v>
      </c>
      <c r="H48" s="14" t="s">
        <v>3</v>
      </c>
      <c r="I48" s="1"/>
    </row>
    <row r="49" spans="1:9" x14ac:dyDescent="0.25">
      <c r="A49" s="1"/>
      <c r="B49" s="67"/>
      <c r="C49" s="68"/>
      <c r="D49" s="68"/>
      <c r="E49" s="68"/>
      <c r="F49" s="68"/>
      <c r="G49" s="61"/>
      <c r="H49" s="19"/>
      <c r="I49" s="1"/>
    </row>
    <row r="50" spans="1:9" x14ac:dyDescent="0.25">
      <c r="A50" s="1"/>
      <c r="B50" s="1"/>
      <c r="C50" s="1"/>
      <c r="D50" s="1"/>
      <c r="E50" s="1"/>
      <c r="F50" s="1"/>
      <c r="G50" s="62"/>
      <c r="H50" s="1"/>
      <c r="I50" s="1"/>
    </row>
    <row r="51" spans="1:9" x14ac:dyDescent="0.25">
      <c r="A51" s="1"/>
      <c r="B51" s="119" t="s">
        <v>142</v>
      </c>
      <c r="C51" s="120"/>
      <c r="D51" s="120"/>
      <c r="E51" s="120"/>
      <c r="F51" s="120"/>
      <c r="G51" s="132"/>
      <c r="H51" s="121"/>
      <c r="I51" s="1"/>
    </row>
    <row r="52" spans="1:9" x14ac:dyDescent="0.25">
      <c r="A52" s="1"/>
      <c r="B52" s="126" t="s">
        <v>143</v>
      </c>
      <c r="C52" s="127"/>
      <c r="D52" s="127"/>
      <c r="E52" s="127"/>
      <c r="F52" s="128"/>
      <c r="G52" s="58">
        <f>(G47-G48)*(1+'Fane 13. Nøgletal'!C15)</f>
        <v>88272659.36797373</v>
      </c>
      <c r="H52" s="14" t="s">
        <v>3</v>
      </c>
      <c r="I52" s="1"/>
    </row>
    <row r="53" spans="1:9" x14ac:dyDescent="0.25">
      <c r="A53" s="1"/>
      <c r="B53" s="126" t="s">
        <v>144</v>
      </c>
      <c r="C53" s="127"/>
      <c r="D53" s="127"/>
      <c r="E53" s="127"/>
      <c r="F53" s="128"/>
      <c r="G53" s="58">
        <f>(G52)*'Fane 13. Nøgletal'!C26</f>
        <v>0</v>
      </c>
      <c r="H53" s="14" t="s">
        <v>3</v>
      </c>
      <c r="I53" s="1"/>
    </row>
    <row r="54" spans="1:9" x14ac:dyDescent="0.25">
      <c r="A54" s="1"/>
      <c r="B54" s="67"/>
      <c r="C54" s="68"/>
      <c r="D54" s="68"/>
      <c r="E54" s="68"/>
      <c r="F54" s="68"/>
      <c r="G54" s="61"/>
      <c r="H54" s="19"/>
      <c r="I54" s="1"/>
    </row>
    <row r="55" spans="1:9" x14ac:dyDescent="0.25">
      <c r="A55" s="1"/>
      <c r="B55" s="1"/>
      <c r="C55" s="1"/>
      <c r="D55" s="1"/>
      <c r="E55" s="1"/>
      <c r="F55" s="1"/>
      <c r="G55" s="62"/>
      <c r="H55" s="1"/>
      <c r="I55" s="1"/>
    </row>
    <row r="56" spans="1:9" x14ac:dyDescent="0.25">
      <c r="A56" s="1"/>
      <c r="B56" s="119" t="s">
        <v>177</v>
      </c>
      <c r="C56" s="120"/>
      <c r="D56" s="120"/>
      <c r="E56" s="120"/>
      <c r="F56" s="120"/>
      <c r="G56" s="132"/>
      <c r="H56" s="121"/>
      <c r="I56" s="1"/>
    </row>
    <row r="57" spans="1:9" x14ac:dyDescent="0.25">
      <c r="A57" s="1"/>
      <c r="B57" s="126" t="s">
        <v>178</v>
      </c>
      <c r="C57" s="127"/>
      <c r="D57" s="127"/>
      <c r="E57" s="127"/>
      <c r="F57" s="128"/>
      <c r="G57" s="58">
        <f>(G52-G53)*(1+'Fane 13. Nøgletal'!C15)</f>
        <v>91415166.041473597</v>
      </c>
      <c r="H57" s="14" t="s">
        <v>3</v>
      </c>
      <c r="I57" s="1"/>
    </row>
    <row r="58" spans="1:9" x14ac:dyDescent="0.25">
      <c r="A58" s="1"/>
      <c r="B58" s="126" t="s">
        <v>179</v>
      </c>
      <c r="C58" s="127"/>
      <c r="D58" s="127"/>
      <c r="E58" s="127"/>
      <c r="F58" s="128"/>
      <c r="G58" s="58">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49"/>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0" t="s">
        <v>82</v>
      </c>
      <c r="C3" s="100"/>
      <c r="D3" s="100"/>
      <c r="E3" s="100"/>
      <c r="F3" s="100"/>
      <c r="G3" s="100"/>
      <c r="H3" s="1"/>
    </row>
    <row r="4" spans="1:8" ht="15" customHeight="1" x14ac:dyDescent="0.25">
      <c r="A4" s="1"/>
      <c r="B4" s="100"/>
      <c r="C4" s="100"/>
      <c r="D4" s="100"/>
      <c r="E4" s="100"/>
      <c r="F4" s="100"/>
      <c r="G4" s="10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9" t="s">
        <v>9</v>
      </c>
      <c r="C8" s="120"/>
      <c r="D8" s="120"/>
      <c r="E8" s="120"/>
      <c r="F8" s="120"/>
      <c r="G8" s="120"/>
      <c r="H8" s="1"/>
    </row>
    <row r="9" spans="1:8" x14ac:dyDescent="0.25">
      <c r="A9" s="1"/>
      <c r="B9" s="76" t="s">
        <v>180</v>
      </c>
      <c r="C9" s="77"/>
      <c r="D9" s="77"/>
      <c r="E9" s="77"/>
      <c r="F9" s="78"/>
      <c r="G9" s="28">
        <v>0.02</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6" t="s">
        <v>202</v>
      </c>
      <c r="C12" s="136"/>
      <c r="D12" s="136"/>
      <c r="E12" s="136"/>
      <c r="F12" s="136"/>
      <c r="G12" s="136"/>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sheetData>
  <sheetProtection algorithmName="SHA-512" hashValue="YxxKZ6ndDymP6TH04/XP9CDv/HLaXZr8UkpobBKCBIVXC9o43gYRdE4rUqghefSDrzIJZLENKsUF1/H4xe8JdQ==" saltValue="+QINl9cVPEW44F+RAwPxg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2023-09-07T08:31:55Z</dcterms:modified>
</cp:coreProperties>
</file>